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vagov-my.sharepoint.com/personal/justin_abold-labreche_va_gov/Documents/"/>
    </mc:Choice>
  </mc:AlternateContent>
  <xr:revisionPtr revIDLastSave="0" documentId="8_{BBEF7FED-2E46-4D83-81E9-DD148995C275}" xr6:coauthVersionLast="47" xr6:coauthVersionMax="47" xr10:uidLastSave="{00000000-0000-0000-0000-000000000000}"/>
  <workbookProtection workbookAlgorithmName="SHA-512" workbookHashValue="0Tm9f8fyAPyE7Hb5EdvVrszL40wOFEZfNnPAd/qW9s0yBAc05FlvwZX78RpJu482P4kxHROlWanuUFwviDew8w==" workbookSaltValue="2a6UzL1WssNB4ixqMXBjzA==" workbookSpinCount="100000" lockStructure="1"/>
  <bookViews>
    <workbookView xWindow="-108" yWindow="-108" windowWidth="23256" windowHeight="12576" tabRatio="792" xr2:uid="{FBB28DB6-7AD7-41FC-860D-1EEDB2739C5B}"/>
  </bookViews>
  <sheets>
    <sheet name="Description" sheetId="22" r:id="rId1"/>
    <sheet name="PACT Act Related Claims Submit" sheetId="10" r:id="rId2"/>
    <sheet name="Toxic Exposure Screenings" sheetId="12" r:id="rId3"/>
    <sheet name="New Planning Enrollees" sheetId="13" r:id="rId4"/>
    <sheet name="VHA 90 Day Trust" sheetId="21" r:id="rId5"/>
  </sheets>
  <definedNames>
    <definedName name="Pvalue" localSheetId="3">'New Planning Enrollees'!$X$4</definedName>
    <definedName name="Pvalue" localSheetId="2">'Toxic Exposure Screenings'!$X$4</definedName>
    <definedName name="Pvalue">'PACT Act Related Claims Submit'!$X$4</definedName>
    <definedName name="zstat" localSheetId="3">'New Planning Enrollees'!$V$1</definedName>
    <definedName name="zstat" localSheetId="1">'PACT Act Related Claims Submit'!$V$1</definedName>
    <definedName name="zstat" localSheetId="2">'Toxic Exposure Screenings'!$V$1</definedName>
    <definedName name="zsta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10" l="1"/>
  <c r="I34" i="10"/>
  <c r="I33" i="10"/>
  <c r="I32" i="10"/>
  <c r="I31" i="10"/>
  <c r="I30" i="10"/>
  <c r="I22" i="12"/>
  <c r="I21" i="12"/>
  <c r="H22" i="12"/>
  <c r="H21" i="12"/>
  <c r="H30" i="13" l="1"/>
  <c r="I22" i="13"/>
  <c r="H22" i="13"/>
  <c r="I21" i="13"/>
  <c r="H21" i="13"/>
  <c r="I30" i="13"/>
  <c r="I31" i="13"/>
  <c r="I32" i="13"/>
  <c r="I33" i="13"/>
  <c r="I34" i="13"/>
  <c r="I35" i="13"/>
  <c r="I29" i="13"/>
  <c r="H31" i="13"/>
  <c r="H32" i="13"/>
  <c r="H33" i="13"/>
  <c r="H34" i="13"/>
  <c r="H35" i="13"/>
  <c r="H29" i="13"/>
  <c r="I7" i="13"/>
  <c r="I8" i="13"/>
  <c r="I9" i="13"/>
  <c r="I10" i="13"/>
  <c r="I11" i="13"/>
  <c r="I12" i="13"/>
  <c r="I13" i="13"/>
  <c r="H8" i="13"/>
  <c r="H9" i="13"/>
  <c r="H10" i="13"/>
  <c r="H11" i="13"/>
  <c r="H12" i="13"/>
  <c r="H13" i="13"/>
  <c r="H7" i="13"/>
  <c r="I30" i="12"/>
  <c r="I31" i="12"/>
  <c r="I32" i="12"/>
  <c r="I33" i="12"/>
  <c r="I34" i="12"/>
  <c r="I35" i="12"/>
  <c r="I29" i="12"/>
  <c r="H30" i="12"/>
  <c r="H31" i="12"/>
  <c r="H32" i="12"/>
  <c r="H33" i="12"/>
  <c r="H34" i="12"/>
  <c r="H35" i="12"/>
  <c r="H29" i="12"/>
  <c r="I8" i="12"/>
  <c r="I9" i="12"/>
  <c r="I10" i="12"/>
  <c r="I11" i="12"/>
  <c r="I12" i="12"/>
  <c r="I13" i="12"/>
  <c r="I7" i="12"/>
  <c r="H8" i="12"/>
  <c r="H9" i="12"/>
  <c r="H10" i="12"/>
  <c r="H11" i="12"/>
  <c r="H12" i="12"/>
  <c r="H13" i="12"/>
  <c r="H7" i="12"/>
  <c r="H7" i="10"/>
  <c r="H22" i="10"/>
  <c r="H21" i="10"/>
  <c r="H13" i="10"/>
  <c r="K27" i="13"/>
  <c r="K19" i="13"/>
  <c r="K4" i="13"/>
  <c r="K27" i="12"/>
  <c r="K19" i="12"/>
  <c r="K4" i="12"/>
  <c r="K27" i="10"/>
  <c r="K19" i="10"/>
  <c r="G35" i="13"/>
  <c r="G34" i="13"/>
  <c r="G33" i="13"/>
  <c r="G32" i="13"/>
  <c r="G31" i="13"/>
  <c r="G30" i="13"/>
  <c r="G29" i="13"/>
  <c r="G35" i="12"/>
  <c r="G34" i="12"/>
  <c r="G33" i="12"/>
  <c r="G32" i="12"/>
  <c r="G31" i="12"/>
  <c r="G30" i="12"/>
  <c r="G29" i="12"/>
  <c r="G22" i="13"/>
  <c r="G21" i="13"/>
  <c r="G22" i="12"/>
  <c r="G21" i="12"/>
  <c r="G13" i="13"/>
  <c r="G12" i="13"/>
  <c r="G11" i="13"/>
  <c r="G10" i="13"/>
  <c r="G9" i="13"/>
  <c r="G8" i="13"/>
  <c r="G7" i="13"/>
  <c r="G13" i="12"/>
  <c r="G12" i="12"/>
  <c r="G11" i="12"/>
  <c r="G10" i="12"/>
  <c r="G9" i="12"/>
  <c r="G8" i="12"/>
  <c r="G7" i="12"/>
  <c r="K4" i="10"/>
  <c r="C7" i="21"/>
  <c r="B39" i="21"/>
  <c r="B26" i="21"/>
  <c r="B17" i="21"/>
  <c r="S13" i="13"/>
  <c r="S13" i="12"/>
  <c r="S13" i="10"/>
  <c r="D8" i="12"/>
  <c r="E8" i="12"/>
  <c r="D9" i="12"/>
  <c r="E9" i="12"/>
  <c r="D10" i="12"/>
  <c r="E10" i="12"/>
  <c r="D11" i="12"/>
  <c r="E11" i="12"/>
  <c r="D12" i="12"/>
  <c r="E12" i="12"/>
  <c r="D13" i="12"/>
  <c r="E13" i="12"/>
  <c r="E7" i="12"/>
  <c r="D7" i="12"/>
  <c r="B14" i="12"/>
  <c r="C14" i="12"/>
  <c r="D8" i="10"/>
  <c r="E8" i="10"/>
  <c r="H8" i="10" s="1"/>
  <c r="D9" i="10"/>
  <c r="E9" i="10"/>
  <c r="H9" i="10" s="1"/>
  <c r="D10" i="10"/>
  <c r="E10" i="10"/>
  <c r="H10" i="10" s="1"/>
  <c r="D11" i="10"/>
  <c r="E11" i="10"/>
  <c r="H11" i="10" s="1"/>
  <c r="D12" i="10"/>
  <c r="E12" i="10"/>
  <c r="H12" i="10" s="1"/>
  <c r="D13" i="10"/>
  <c r="E13" i="10"/>
  <c r="E7" i="10"/>
  <c r="D7" i="10"/>
  <c r="C14" i="13"/>
  <c r="D8" i="13"/>
  <c r="E8" i="13"/>
  <c r="D9" i="13"/>
  <c r="E9" i="13"/>
  <c r="D10" i="13"/>
  <c r="E10" i="13"/>
  <c r="D11" i="13"/>
  <c r="E11" i="13"/>
  <c r="D12" i="13"/>
  <c r="E12" i="13"/>
  <c r="D13" i="13"/>
  <c r="E13" i="13"/>
  <c r="E7" i="13"/>
  <c r="D7" i="13"/>
  <c r="B14" i="13"/>
  <c r="C14" i="10"/>
  <c r="B14" i="10"/>
  <c r="C36" i="13"/>
  <c r="C38" i="13" s="1"/>
  <c r="E37" i="13" s="1"/>
  <c r="B36" i="13"/>
  <c r="T35" i="13"/>
  <c r="S35" i="13"/>
  <c r="E35" i="13"/>
  <c r="D35" i="13"/>
  <c r="F35" i="13" s="1"/>
  <c r="T34" i="13"/>
  <c r="S34" i="13"/>
  <c r="E34" i="13"/>
  <c r="D34" i="13"/>
  <c r="F34" i="13" s="1"/>
  <c r="T33" i="13"/>
  <c r="S33" i="13"/>
  <c r="E33" i="13"/>
  <c r="D33" i="13"/>
  <c r="F33" i="13" s="1"/>
  <c r="T32" i="13"/>
  <c r="S32" i="13"/>
  <c r="E32" i="13"/>
  <c r="D32" i="13"/>
  <c r="F32" i="13" s="1"/>
  <c r="T31" i="13"/>
  <c r="S31" i="13"/>
  <c r="E31" i="13"/>
  <c r="D31" i="13"/>
  <c r="F31" i="13" s="1"/>
  <c r="T30" i="13"/>
  <c r="S30" i="13"/>
  <c r="E30" i="13"/>
  <c r="D30" i="13"/>
  <c r="F30" i="13" s="1"/>
  <c r="T29" i="13"/>
  <c r="S29" i="13"/>
  <c r="E29" i="13"/>
  <c r="D29" i="13"/>
  <c r="F29" i="13" s="1"/>
  <c r="C23" i="13"/>
  <c r="C25" i="13" s="1"/>
  <c r="E24" i="13" s="1"/>
  <c r="S22" i="13"/>
  <c r="E22" i="13"/>
  <c r="S21" i="13"/>
  <c r="E21" i="13"/>
  <c r="C16" i="13"/>
  <c r="S12" i="13"/>
  <c r="S11" i="13"/>
  <c r="S10" i="13"/>
  <c r="S9" i="13"/>
  <c r="S8" i="13"/>
  <c r="S7" i="13"/>
  <c r="V1" i="13"/>
  <c r="C36" i="12"/>
  <c r="C38" i="12" s="1"/>
  <c r="E37" i="12" s="1"/>
  <c r="B36" i="12"/>
  <c r="T35" i="12"/>
  <c r="S35" i="12"/>
  <c r="E35" i="12"/>
  <c r="D35" i="12"/>
  <c r="F35" i="12" s="1"/>
  <c r="T34" i="12"/>
  <c r="S34" i="12"/>
  <c r="E34" i="12"/>
  <c r="D34" i="12"/>
  <c r="F34" i="12" s="1"/>
  <c r="T33" i="12"/>
  <c r="S33" i="12"/>
  <c r="E33" i="12"/>
  <c r="D33" i="12"/>
  <c r="F33" i="12" s="1"/>
  <c r="T32" i="12"/>
  <c r="S32" i="12"/>
  <c r="E32" i="12"/>
  <c r="D32" i="12"/>
  <c r="F32" i="12" s="1"/>
  <c r="T31" i="12"/>
  <c r="S31" i="12"/>
  <c r="E31" i="12"/>
  <c r="D31" i="12"/>
  <c r="F31" i="12" s="1"/>
  <c r="T30" i="12"/>
  <c r="S30" i="12"/>
  <c r="E30" i="12"/>
  <c r="D30" i="12"/>
  <c r="F30" i="12" s="1"/>
  <c r="T29" i="12"/>
  <c r="S29" i="12"/>
  <c r="E29" i="12"/>
  <c r="D29" i="12"/>
  <c r="F29" i="12" s="1"/>
  <c r="C23" i="12"/>
  <c r="C25" i="12" s="1"/>
  <c r="E24" i="12" s="1"/>
  <c r="S22" i="12"/>
  <c r="E22" i="12"/>
  <c r="S21" i="12"/>
  <c r="E21" i="12"/>
  <c r="C16" i="12"/>
  <c r="S12" i="12"/>
  <c r="S11" i="12"/>
  <c r="S10" i="12"/>
  <c r="S9" i="12"/>
  <c r="S8" i="12"/>
  <c r="S7" i="12"/>
  <c r="V1" i="12"/>
  <c r="S10" i="10"/>
  <c r="V1" i="10"/>
  <c r="C36" i="10"/>
  <c r="C38" i="10" s="1"/>
  <c r="E37" i="10" s="1"/>
  <c r="B36" i="10"/>
  <c r="C23" i="10"/>
  <c r="S35" i="10"/>
  <c r="S32" i="10"/>
  <c r="S31" i="10"/>
  <c r="S30" i="10"/>
  <c r="S22" i="10"/>
  <c r="E22" i="10"/>
  <c r="S21" i="10"/>
  <c r="E21" i="10"/>
  <c r="S12" i="10"/>
  <c r="S11" i="10"/>
  <c r="S9" i="10"/>
  <c r="S8" i="10"/>
  <c r="S7" i="10"/>
  <c r="F10" i="10"/>
  <c r="I10" i="10" s="1"/>
  <c r="R30" i="13" l="1"/>
  <c r="R31" i="13"/>
  <c r="R32" i="13"/>
  <c r="R33" i="13"/>
  <c r="R34" i="13"/>
  <c r="R35" i="13"/>
  <c r="R29" i="13"/>
  <c r="T13" i="13"/>
  <c r="R8" i="13"/>
  <c r="R9" i="13"/>
  <c r="R10" i="13"/>
  <c r="R11" i="13"/>
  <c r="R12" i="13"/>
  <c r="R13" i="13"/>
  <c r="R7" i="13"/>
  <c r="R30" i="12"/>
  <c r="R31" i="12"/>
  <c r="R32" i="12"/>
  <c r="R33" i="12"/>
  <c r="R34" i="12"/>
  <c r="R35" i="12"/>
  <c r="R29" i="12"/>
  <c r="R8" i="12"/>
  <c r="R9" i="12"/>
  <c r="R10" i="12"/>
  <c r="R11" i="12"/>
  <c r="R12" i="12"/>
  <c r="R13" i="12"/>
  <c r="R7" i="12"/>
  <c r="R30" i="10"/>
  <c r="R31" i="10"/>
  <c r="R32" i="10"/>
  <c r="R33" i="10"/>
  <c r="R34" i="10"/>
  <c r="R35" i="10"/>
  <c r="R29" i="10"/>
  <c r="T13" i="10"/>
  <c r="R8" i="10"/>
  <c r="R9" i="10"/>
  <c r="R10" i="10"/>
  <c r="R11" i="10"/>
  <c r="R12" i="10"/>
  <c r="R13" i="10"/>
  <c r="R7" i="10"/>
  <c r="U13" i="13"/>
  <c r="T13" i="12"/>
  <c r="C25" i="10"/>
  <c r="B19" i="21"/>
  <c r="B28" i="21"/>
  <c r="B41" i="21"/>
  <c r="F10" i="13"/>
  <c r="F7" i="13"/>
  <c r="F8" i="13"/>
  <c r="F9" i="13"/>
  <c r="F11" i="13"/>
  <c r="F12" i="13"/>
  <c r="F13" i="13"/>
  <c r="E15" i="13"/>
  <c r="B23" i="13"/>
  <c r="D21" i="13"/>
  <c r="F21" i="13" s="1"/>
  <c r="D22" i="13"/>
  <c r="F22" i="13" s="1"/>
  <c r="B38" i="13"/>
  <c r="F10" i="12"/>
  <c r="F7" i="12"/>
  <c r="F8" i="12"/>
  <c r="F9" i="12"/>
  <c r="F11" i="12"/>
  <c r="F12" i="12"/>
  <c r="F13" i="12"/>
  <c r="E15" i="12"/>
  <c r="B23" i="12"/>
  <c r="D21" i="12"/>
  <c r="F21" i="12" s="1"/>
  <c r="D22" i="12"/>
  <c r="F22" i="12" s="1"/>
  <c r="B38" i="12"/>
  <c r="F13" i="10"/>
  <c r="I13" i="10" s="1"/>
  <c r="T30" i="10"/>
  <c r="T31" i="10"/>
  <c r="T32" i="10"/>
  <c r="T33" i="10"/>
  <c r="T34" i="10"/>
  <c r="T35" i="10"/>
  <c r="T29" i="10"/>
  <c r="B38" i="10"/>
  <c r="B23" i="10"/>
  <c r="C16" i="10"/>
  <c r="E15" i="10" s="1"/>
  <c r="D22" i="10"/>
  <c r="F22" i="10" s="1"/>
  <c r="I22" i="10" s="1"/>
  <c r="E31" i="10"/>
  <c r="H31" i="10" s="1"/>
  <c r="F7" i="10"/>
  <c r="I7" i="10" s="1"/>
  <c r="T10" i="10"/>
  <c r="E29" i="10"/>
  <c r="H29" i="10" s="1"/>
  <c r="F11" i="10"/>
  <c r="I11" i="10" s="1"/>
  <c r="E32" i="10"/>
  <c r="H32" i="10" s="1"/>
  <c r="E34" i="10"/>
  <c r="H34" i="10" s="1"/>
  <c r="S34" i="10"/>
  <c r="D21" i="10"/>
  <c r="F21" i="10" s="1"/>
  <c r="I21" i="10" s="1"/>
  <c r="E33" i="10"/>
  <c r="H33" i="10" s="1"/>
  <c r="E35" i="10"/>
  <c r="H35" i="10" s="1"/>
  <c r="F12" i="10"/>
  <c r="I12" i="10" s="1"/>
  <c r="S29" i="10"/>
  <c r="E30" i="10"/>
  <c r="H30" i="10" s="1"/>
  <c r="F8" i="10"/>
  <c r="I8" i="10" s="1"/>
  <c r="S33" i="10"/>
  <c r="F9" i="10"/>
  <c r="I9" i="10" s="1"/>
  <c r="R22" i="13" l="1"/>
  <c r="R21" i="13"/>
  <c r="R22" i="12"/>
  <c r="R21" i="12"/>
  <c r="R22" i="10"/>
  <c r="R21" i="10"/>
  <c r="D37" i="13"/>
  <c r="F37" i="13" s="1"/>
  <c r="D37" i="12"/>
  <c r="F37" i="12" s="1"/>
  <c r="D37" i="10"/>
  <c r="F37" i="10" s="1"/>
  <c r="E24" i="10"/>
  <c r="U29" i="13"/>
  <c r="V29" i="13" s="1"/>
  <c r="W29" i="13" s="1"/>
  <c r="U30" i="13"/>
  <c r="V30" i="13" s="1"/>
  <c r="W30" i="13" s="1"/>
  <c r="U31" i="13"/>
  <c r="V31" i="13" s="1"/>
  <c r="W31" i="13" s="1"/>
  <c r="U32" i="13"/>
  <c r="V32" i="13" s="1"/>
  <c r="W32" i="13" s="1"/>
  <c r="U33" i="13"/>
  <c r="V33" i="13" s="1"/>
  <c r="W33" i="13" s="1"/>
  <c r="U34" i="13"/>
  <c r="V34" i="13" s="1"/>
  <c r="W34" i="13" s="1"/>
  <c r="U35" i="13"/>
  <c r="V35" i="13" s="1"/>
  <c r="W35" i="13" s="1"/>
  <c r="B25" i="13"/>
  <c r="T22" i="13"/>
  <c r="T21" i="13"/>
  <c r="B16" i="13"/>
  <c r="V13" i="13"/>
  <c r="W13" i="13" s="1"/>
  <c r="T12" i="13"/>
  <c r="U12" i="13" s="1"/>
  <c r="T11" i="13"/>
  <c r="U11" i="13" s="1"/>
  <c r="T10" i="13"/>
  <c r="U10" i="13" s="1"/>
  <c r="T9" i="13"/>
  <c r="U9" i="13" s="1"/>
  <c r="T8" i="13"/>
  <c r="U8" i="13" s="1"/>
  <c r="T7" i="13"/>
  <c r="U7" i="13" s="1"/>
  <c r="U29" i="12"/>
  <c r="V29" i="12" s="1"/>
  <c r="W29" i="12" s="1"/>
  <c r="U30" i="12"/>
  <c r="V30" i="12" s="1"/>
  <c r="W30" i="12" s="1"/>
  <c r="U31" i="12"/>
  <c r="V31" i="12" s="1"/>
  <c r="W31" i="12" s="1"/>
  <c r="U32" i="12"/>
  <c r="V32" i="12" s="1"/>
  <c r="W32" i="12" s="1"/>
  <c r="U33" i="12"/>
  <c r="V33" i="12" s="1"/>
  <c r="W33" i="12" s="1"/>
  <c r="U34" i="12"/>
  <c r="V34" i="12" s="1"/>
  <c r="W34" i="12" s="1"/>
  <c r="U35" i="12"/>
  <c r="V35" i="12" s="1"/>
  <c r="W35" i="12" s="1"/>
  <c r="B25" i="12"/>
  <c r="T22" i="12"/>
  <c r="T21" i="12"/>
  <c r="B16" i="12"/>
  <c r="U13" i="12"/>
  <c r="V13" i="12" s="1"/>
  <c r="W13" i="12" s="1"/>
  <c r="T12" i="12"/>
  <c r="T11" i="12"/>
  <c r="T10" i="12"/>
  <c r="T9" i="12"/>
  <c r="T8" i="12"/>
  <c r="T7" i="12"/>
  <c r="T22" i="10"/>
  <c r="T21" i="10"/>
  <c r="T8" i="10"/>
  <c r="T9" i="10"/>
  <c r="T11" i="10"/>
  <c r="T12" i="10"/>
  <c r="T7" i="10"/>
  <c r="B25" i="10"/>
  <c r="D32" i="10"/>
  <c r="F32" i="10" s="1"/>
  <c r="B16" i="10"/>
  <c r="D29" i="10"/>
  <c r="F29" i="10" s="1"/>
  <c r="I29" i="10" s="1"/>
  <c r="D33" i="10"/>
  <c r="F33" i="10" s="1"/>
  <c r="D34" i="10"/>
  <c r="F34" i="10" s="1"/>
  <c r="D30" i="10"/>
  <c r="F30" i="10" s="1"/>
  <c r="D31" i="10"/>
  <c r="F31" i="10" s="1"/>
  <c r="D35" i="10"/>
  <c r="F35" i="10" s="1"/>
  <c r="D24" i="13" l="1"/>
  <c r="F24" i="13" s="1"/>
  <c r="D24" i="12"/>
  <c r="F24" i="12" s="1"/>
  <c r="D24" i="10"/>
  <c r="F24" i="10" s="1"/>
  <c r="U10" i="10"/>
  <c r="V10" i="10" s="1"/>
  <c r="W10" i="10" s="1"/>
  <c r="G10" i="10" s="1"/>
  <c r="U13" i="10"/>
  <c r="V13" i="10" s="1"/>
  <c r="W13" i="10" s="1"/>
  <c r="G13" i="10" s="1"/>
  <c r="V10" i="13"/>
  <c r="W10" i="13" s="1"/>
  <c r="V12" i="13"/>
  <c r="W12" i="13" s="1"/>
  <c r="V11" i="13"/>
  <c r="W11" i="13" s="1"/>
  <c r="V9" i="13"/>
  <c r="W9" i="13" s="1"/>
  <c r="V8" i="13"/>
  <c r="W8" i="13" s="1"/>
  <c r="V7" i="13"/>
  <c r="W7" i="13" s="1"/>
  <c r="D15" i="13"/>
  <c r="F15" i="13" s="1"/>
  <c r="U22" i="13"/>
  <c r="V22" i="13" s="1"/>
  <c r="W22" i="13" s="1"/>
  <c r="U21" i="13"/>
  <c r="V21" i="13" s="1"/>
  <c r="W21" i="13" s="1"/>
  <c r="U10" i="12"/>
  <c r="V10" i="12" s="1"/>
  <c r="W10" i="12" s="1"/>
  <c r="U12" i="12"/>
  <c r="V12" i="12" s="1"/>
  <c r="W12" i="12" s="1"/>
  <c r="U11" i="12"/>
  <c r="V11" i="12" s="1"/>
  <c r="W11" i="12" s="1"/>
  <c r="U9" i="12"/>
  <c r="V9" i="12" s="1"/>
  <c r="W9" i="12" s="1"/>
  <c r="U8" i="12"/>
  <c r="V8" i="12" s="1"/>
  <c r="W8" i="12" s="1"/>
  <c r="U7" i="12"/>
  <c r="V7" i="12" s="1"/>
  <c r="W7" i="12" s="1"/>
  <c r="D15" i="12"/>
  <c r="F15" i="12" s="1"/>
  <c r="U22" i="12"/>
  <c r="V22" i="12" s="1"/>
  <c r="W22" i="12" s="1"/>
  <c r="U21" i="12"/>
  <c r="V21" i="12" s="1"/>
  <c r="W21" i="12" s="1"/>
  <c r="U12" i="10"/>
  <c r="U9" i="10"/>
  <c r="U7" i="10"/>
  <c r="U21" i="10"/>
  <c r="V21" i="10" s="1"/>
  <c r="W21" i="10" s="1"/>
  <c r="G21" i="10" s="1"/>
  <c r="U22" i="10"/>
  <c r="U8" i="10"/>
  <c r="U11" i="10"/>
  <c r="V22" i="10"/>
  <c r="W22" i="10" s="1"/>
  <c r="G22" i="10" s="1"/>
  <c r="D15" i="10"/>
  <c r="F15" i="10" s="1"/>
  <c r="U29" i="10"/>
  <c r="U34" i="10"/>
  <c r="U31" i="10"/>
  <c r="U35" i="10"/>
  <c r="U32" i="10"/>
  <c r="U30" i="10"/>
  <c r="U33" i="10"/>
  <c r="V34" i="10" l="1"/>
  <c r="W34" i="10" s="1"/>
  <c r="G34" i="10" s="1"/>
  <c r="V7" i="10"/>
  <c r="W7" i="10" s="1"/>
  <c r="G7" i="10" s="1"/>
  <c r="V32" i="10"/>
  <c r="W32" i="10" s="1"/>
  <c r="G32" i="10" s="1"/>
  <c r="V35" i="10"/>
  <c r="W35" i="10" s="1"/>
  <c r="G35" i="10" s="1"/>
  <c r="V29" i="10"/>
  <c r="W29" i="10" s="1"/>
  <c r="G29" i="10" s="1"/>
  <c r="V30" i="10"/>
  <c r="W30" i="10" s="1"/>
  <c r="G30" i="10" s="1"/>
  <c r="V31" i="10"/>
  <c r="W31" i="10" s="1"/>
  <c r="G31" i="10" s="1"/>
  <c r="V33" i="10"/>
  <c r="W33" i="10" s="1"/>
  <c r="G33" i="10" s="1"/>
  <c r="V9" i="10" l="1"/>
  <c r="W9" i="10" s="1"/>
  <c r="G9" i="10" s="1"/>
  <c r="V11" i="10"/>
  <c r="W11" i="10" s="1"/>
  <c r="G11" i="10" s="1"/>
  <c r="V8" i="10"/>
  <c r="W8" i="10" s="1"/>
  <c r="G8" i="10" s="1"/>
  <c r="V12" i="10"/>
  <c r="W12" i="10" s="1"/>
  <c r="G12" i="10" s="1"/>
</calcChain>
</file>

<file path=xl/sharedStrings.xml><?xml version="1.0" encoding="utf-8"?>
<sst xmlns="http://schemas.openxmlformats.org/spreadsheetml/2006/main" count="300" uniqueCount="92">
  <si>
    <t>Calculation Information/Data Caveats</t>
  </si>
  <si>
    <t>Definition</t>
  </si>
  <si>
    <t>New Enrollees in the PACT Act Planning Population</t>
  </si>
  <si>
    <t xml:space="preserve">This statistic measures the number of new enrollees in VA healthcare that fall within the PACT Act Planning Population to understand the impact of the PACT Act on enrollment. This metric helps identify the direct impact of PACT ACT - meaning those who are enrolling from populations VA assesses as becoming eligible due to the PACT Act. </t>
  </si>
  <si>
    <t>Toxic Exposure Screenings</t>
  </si>
  <si>
    <t>Z stat</t>
  </si>
  <si>
    <t>alpha</t>
  </si>
  <si>
    <t>Claims Submitted: Cumulative Total PACT Related Claims Net Receipts (08/10/2022-08/12/2023)</t>
  </si>
  <si>
    <t>Baseline: Living PACT Act Planning Population (08/12/2023)</t>
  </si>
  <si>
    <t>Z-test</t>
  </si>
  <si>
    <t>significant if p-value &lt;</t>
  </si>
  <si>
    <t>Race/Ethnicity</t>
  </si>
  <si>
    <t>Claims Submitted</t>
  </si>
  <si>
    <t>Baseline</t>
  </si>
  <si>
    <t>Percent Claims Submitted with Known Race</t>
  </si>
  <si>
    <t>Percent Baseline with Known Race</t>
  </si>
  <si>
    <t>Difference</t>
  </si>
  <si>
    <t>Statistical Significance Indicator</t>
  </si>
  <si>
    <t>10% Meaningful Difference Threshold Amount</t>
  </si>
  <si>
    <t>Meaningful Difference Indicator</t>
  </si>
  <si>
    <r>
      <t>p</t>
    </r>
    <r>
      <rPr>
        <sz val="11"/>
        <color theme="1"/>
        <rFont val="Calibri"/>
        <family val="2"/>
      </rPr>
      <t>̂</t>
    </r>
    <r>
      <rPr>
        <sz val="11"/>
        <color theme="1"/>
        <rFont val="Calibri"/>
        <family val="2"/>
        <scheme val="minor"/>
      </rPr>
      <t>-p</t>
    </r>
    <r>
      <rPr>
        <vertAlign val="subscript"/>
        <sz val="11"/>
        <color theme="1"/>
        <rFont val="Calibri"/>
        <family val="2"/>
        <scheme val="minor"/>
      </rPr>
      <t>0</t>
    </r>
  </si>
  <si>
    <t>n</t>
  </si>
  <si>
    <r>
      <t>p</t>
    </r>
    <r>
      <rPr>
        <vertAlign val="subscript"/>
        <sz val="11"/>
        <color theme="1"/>
        <rFont val="Calibri"/>
        <family val="2"/>
        <scheme val="minor"/>
      </rPr>
      <t>0</t>
    </r>
  </si>
  <si>
    <t>z</t>
  </si>
  <si>
    <t>p-value</t>
  </si>
  <si>
    <t>sig</t>
  </si>
  <si>
    <t>American Indian or Alaska Native, non-Hispanic</t>
  </si>
  <si>
    <t>Asian, non-Hispanic</t>
  </si>
  <si>
    <t>Black or African American, non-Hispanic</t>
  </si>
  <si>
    <t>Hispanic or Latino, of any race</t>
  </si>
  <si>
    <t>Native Hawaiian or Other Pacific Islander, non-Hispanic</t>
  </si>
  <si>
    <t>White, non-Hispanic</t>
  </si>
  <si>
    <t xml:space="preserve">"Two or More Races", non-Hispanic </t>
  </si>
  <si>
    <t>Total (without unknowns)</t>
  </si>
  <si>
    <t>Unknown</t>
  </si>
  <si>
    <t>Grand Total</t>
  </si>
  <si>
    <t>Gender</t>
  </si>
  <si>
    <t>Percent Claims Submitted with Known Gender</t>
  </si>
  <si>
    <t>Percent Baseline with Known Gender</t>
  </si>
  <si>
    <t>Female</t>
  </si>
  <si>
    <t>Male</t>
  </si>
  <si>
    <t>Age</t>
  </si>
  <si>
    <t>Percent Claims Submitted with Known Age</t>
  </si>
  <si>
    <t>Percent Baseline with Known Age</t>
  </si>
  <si>
    <t>&lt;25</t>
  </si>
  <si>
    <t>25-34</t>
  </si>
  <si>
    <t>35-44</t>
  </si>
  <si>
    <t>45-54</t>
  </si>
  <si>
    <t>55-64</t>
  </si>
  <si>
    <t>65-84</t>
  </si>
  <si>
    <t>85+</t>
  </si>
  <si>
    <t>Baseline: All VHA Healthcare Enrollees (08/12/2023)</t>
  </si>
  <si>
    <t>Percent Toxic Exposure Screenings with Known Race</t>
  </si>
  <si>
    <t>Percent Toxic Exposure Screenings with Known Gender</t>
  </si>
  <si>
    <t>Percent Toxic Exposure Screenings with Known Age</t>
  </si>
  <si>
    <t>New Enrollees: New Enrollees in the PACT Act Planning Population (10/01/2022 - 08/12/2023)</t>
  </si>
  <si>
    <t>Baseline: Non-Enrolled Cohort in the PACT Act Planning Population (As of 10/01/2022)</t>
  </si>
  <si>
    <t>New Enrollees</t>
  </si>
  <si>
    <t>Percent New Enrollees with Known Race</t>
  </si>
  <si>
    <t>Percent New Enrollees with Known Gender</t>
  </si>
  <si>
    <t>Percent New Enrollees with Known Age</t>
  </si>
  <si>
    <t>VHA 90 Day Trust Metrics</t>
  </si>
  <si>
    <t>Survey Summary Statistics:</t>
  </si>
  <si>
    <t>Surveys Sent:</t>
  </si>
  <si>
    <t>Surveys Received:</t>
  </si>
  <si>
    <t>Comments Received:</t>
  </si>
  <si>
    <t>Response Rate:</t>
  </si>
  <si>
    <t>Total Responses</t>
  </si>
  <si>
    <t>Percentage Agreement</t>
  </si>
  <si>
    <t>N/A</t>
  </si>
  <si>
    <t>This metric identifies the number of VBA benefit claims with at least one PACT Act-related condition submitted since Aug 10, 2022.</t>
  </si>
  <si>
    <t>2. Age and living-status data used for aggregations in the provided tables is reflective of current Veteran status rather than status at time of metric events (such as date of claim approval).</t>
  </si>
  <si>
    <t>This statistic identifies the number of Veterans who have received a VHA Toxic Exposure Screening. Every Veteran enrolled in VA healthcare will receive an initial screening and a follow-up screening at least once every 5 years. Veterans who are not enrolled and who meet eligibility requirements will have an opportunity to enroll and receive the screening. The screening will ask Veterans if they think they were exposed to any of these hazards while serving: Open burn pits and other airborne hazards, Gulf War-related exposures, Agent Orange Radiation, Camp Lejeune contaminated water exposure and/or Other Exposures.</t>
  </si>
  <si>
    <t xml:space="preserve">This Data Workbook accompanies PACT Act Quarterly Demographic Supplement to the VA PACT Act Performance Dashboard (https://www.accesstocare.va.gov/PactAct), in which we demonstrate our commitment both to transparency and to serving all Veterans by providing a demographic analysis of VA's implementation of the PACT Act. To learn more about VA's intentional commitment to consistent and systemic, fair, just and impartial treatment of and service to all Veterans, please visit https://www.va.gov/equity. </t>
  </si>
  <si>
    <t>1. For each metric, we compared the observed metric (what we are seeing occur as part of the implementation of PACT Act) with its logical baseline population (what we might expect to see). We then checked for statistical significance and applied a normalized threshold of difference of 10% to identify a set of preliminary observations where it appears there may be meaningful differences. (We normalized the threshold to take into account the differing sizes of each demographic group in the baseline population.)</t>
  </si>
  <si>
    <t>4. Please note, the data in this Quarterly Demographic Supplement (Q4FY23), we are generally using data as of August 12, 2023, which generally corresponds to the data cut off for Issue 14 (published August, 18, 2023).</t>
  </si>
  <si>
    <t>Cumulative Total PACT Act Claims Submitted</t>
  </si>
  <si>
    <t>This baseline identifies Veterans in the PACT Act Planning Population who are currently living for comparative analysis purposes. The PACT Act Planning population consists of Veterans where VA has a high level of confidence they are a member of one or more of the three PACT Act eligible cohorts (Vietnam, Gulf-War, Post 9-11). VA is using this population as a means of identifying the impact of the PACT Act on enrollment in VA healthcare.</t>
  </si>
  <si>
    <t>This baseline identifies Veterans in the Planning Population who are not currently enrolled in VHA healthcare.</t>
  </si>
  <si>
    <t>This baseline because identifies all Veterans currently enrolled with VHA for care.</t>
  </si>
  <si>
    <t>Metric/Baseline</t>
  </si>
  <si>
    <t>Cumulative Total PACT Related Claims Submitted (Metric)</t>
  </si>
  <si>
    <t>Living PACT Act Planning Population (Baseline)</t>
  </si>
  <si>
    <t>Toxic Exposure Screenings (Metric)</t>
  </si>
  <si>
    <t>All Veterans Enrolled in VHA For Care (Baseline)</t>
  </si>
  <si>
    <t>New Enrollees in the PACT Act Planning Population (Metric)</t>
  </si>
  <si>
    <t>Non-Enrolled Cohort in the PACT Act Planning Population (Baseline)</t>
  </si>
  <si>
    <t>VHA Trust (Metric)</t>
  </si>
  <si>
    <t xml:space="preserve">This metric reflects the percentage of Veterans who respond to the survey question "I trust the VHA (Facility Name) for my health needs" with a score of 4 or 5. </t>
  </si>
  <si>
    <t>3. Demographic reporting was conducted using best practices under the advisement of statistical subject matter experts.</t>
  </si>
  <si>
    <t>Toxic Exposure Screenings: Total Toxic Exposure Screenings (09/06/2022 - 08/12/2023)</t>
  </si>
  <si>
    <t>Metrics: VHA 90 Day Trust Survey Response and Percentage Agreement (04/18/2023 - 07/17/2023)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</si>
</sst>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0.0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sz val="36"/>
      <color theme="1"/>
      <name val="Calibri"/>
      <family val="2"/>
      <scheme val="minor"/>
    </font>
    <font>
      <b/>
      <sz val="11"/>
      <color theme="0"/>
      <name val="Calibri"/>
      <family val="2"/>
      <scheme val="minor"/>
    </font>
    <font>
      <sz val="10"/>
      <color theme="1"/>
      <name val="Calibri"/>
      <family val="2"/>
      <scheme val="minor"/>
    </font>
    <font>
      <i/>
      <sz val="11"/>
      <color theme="1"/>
      <name val="Calibri"/>
      <family val="2"/>
      <scheme val="minor"/>
    </font>
    <font>
      <sz val="11"/>
      <color theme="1"/>
      <name val="Calibri"/>
      <family val="2"/>
    </font>
    <font>
      <vertAlign val="subscript"/>
      <sz val="11"/>
      <color theme="1"/>
      <name val="Calibri"/>
      <family val="2"/>
      <scheme val="minor"/>
    </font>
    <font>
      <sz val="11"/>
      <name val="Calibri"/>
      <family val="2"/>
      <scheme val="minor"/>
    </font>
    <font>
      <sz val="11"/>
      <color theme="0" tint="-0.499984740745262"/>
      <name val="Calibri"/>
      <family val="2"/>
      <scheme val="minor"/>
    </font>
    <font>
      <b/>
      <sz val="11"/>
      <color indexed="8"/>
      <name val="Calibri"/>
      <family val="2"/>
      <scheme val="minor"/>
    </font>
    <font>
      <b/>
      <sz val="12"/>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4" fillId="0" borderId="0" xfId="0" applyFont="1"/>
    <xf numFmtId="0" fontId="0" fillId="0" borderId="0" xfId="0" applyAlignment="1">
      <alignment wrapText="1"/>
    </xf>
    <xf numFmtId="10" fontId="0" fillId="0" borderId="0" xfId="0" applyNumberFormat="1"/>
    <xf numFmtId="0" fontId="3" fillId="0" borderId="0" xfId="0" applyFont="1"/>
    <xf numFmtId="164" fontId="0" fillId="0" borderId="0" xfId="0" applyNumberFormat="1"/>
    <xf numFmtId="43" fontId="0" fillId="0" borderId="0" xfId="0" applyNumberFormat="1"/>
    <xf numFmtId="0" fontId="2" fillId="0" borderId="0" xfId="0" applyFont="1"/>
    <xf numFmtId="165" fontId="6" fillId="3" borderId="0" xfId="2" applyNumberFormat="1" applyFont="1" applyFill="1" applyAlignment="1">
      <alignment horizontal="right"/>
    </xf>
    <xf numFmtId="43" fontId="6" fillId="3" borderId="0" xfId="1" applyFont="1" applyFill="1"/>
    <xf numFmtId="9" fontId="6" fillId="3" borderId="0" xfId="0" applyNumberFormat="1" applyFont="1" applyFill="1"/>
    <xf numFmtId="0" fontId="7" fillId="0" borderId="0" xfId="0" applyFont="1" applyAlignment="1">
      <alignment horizontal="right"/>
    </xf>
    <xf numFmtId="0" fontId="2" fillId="2" borderId="3" xfId="0" applyFont="1" applyFill="1" applyBorder="1"/>
    <xf numFmtId="164" fontId="2" fillId="2" borderId="3" xfId="1" applyNumberFormat="1" applyFont="1" applyFill="1" applyBorder="1"/>
    <xf numFmtId="10" fontId="2" fillId="2" borderId="3" xfId="0" applyNumberFormat="1" applyFont="1" applyFill="1" applyBorder="1"/>
    <xf numFmtId="0" fontId="2" fillId="2" borderId="4" xfId="0" applyFont="1" applyFill="1" applyBorder="1"/>
    <xf numFmtId="164" fontId="2" fillId="2" borderId="4" xfId="1" applyNumberFormat="1" applyFont="1" applyFill="1" applyBorder="1"/>
    <xf numFmtId="0" fontId="0" fillId="0" borderId="5" xfId="0" applyBorder="1"/>
    <xf numFmtId="165" fontId="0" fillId="0" borderId="3" xfId="0" applyNumberFormat="1" applyBorder="1"/>
    <xf numFmtId="164" fontId="0" fillId="0" borderId="3" xfId="0" applyNumberFormat="1" applyBorder="1"/>
    <xf numFmtId="0" fontId="2" fillId="2" borderId="5" xfId="0" applyFont="1" applyFill="1" applyBorder="1"/>
    <xf numFmtId="10" fontId="0" fillId="0" borderId="1" xfId="0" applyNumberFormat="1" applyBorder="1"/>
    <xf numFmtId="164" fontId="0" fillId="0" borderId="1" xfId="0" applyNumberFormat="1" applyBorder="1"/>
    <xf numFmtId="0" fontId="0" fillId="0" borderId="1" xfId="0" applyBorder="1"/>
    <xf numFmtId="43" fontId="0" fillId="0" borderId="1" xfId="0" applyNumberFormat="1" applyBorder="1"/>
    <xf numFmtId="165" fontId="0" fillId="0" borderId="3" xfId="2" applyNumberFormat="1" applyFont="1" applyBorder="1"/>
    <xf numFmtId="0" fontId="5" fillId="5" borderId="5" xfId="0" applyFont="1" applyFill="1" applyBorder="1" applyAlignment="1">
      <alignment vertical="center" wrapText="1"/>
    </xf>
    <xf numFmtId="0" fontId="5" fillId="5" borderId="3" xfId="0" applyFont="1" applyFill="1" applyBorder="1" applyAlignment="1">
      <alignment vertical="center" wrapText="1"/>
    </xf>
    <xf numFmtId="0" fontId="5" fillId="5" borderId="6" xfId="0" applyFont="1" applyFill="1" applyBorder="1" applyAlignment="1">
      <alignment vertical="center" wrapText="1"/>
    </xf>
    <xf numFmtId="0" fontId="0" fillId="4" borderId="1" xfId="0" applyFill="1" applyBorder="1" applyAlignment="1">
      <alignment horizontal="center" wrapText="1"/>
    </xf>
    <xf numFmtId="166" fontId="10" fillId="0" borderId="1" xfId="0" applyNumberFormat="1" applyFont="1" applyBorder="1"/>
    <xf numFmtId="43" fontId="1" fillId="3" borderId="0" xfId="1" applyFont="1" applyFill="1"/>
    <xf numFmtId="0" fontId="1" fillId="0" borderId="0" xfId="0" applyFont="1"/>
    <xf numFmtId="0" fontId="1" fillId="4" borderId="1" xfId="0" applyFont="1" applyFill="1" applyBorder="1" applyAlignment="1">
      <alignment horizontal="center" wrapText="1"/>
    </xf>
    <xf numFmtId="43" fontId="1" fillId="0" borderId="0" xfId="0" applyNumberFormat="1" applyFont="1"/>
    <xf numFmtId="165" fontId="11" fillId="0" borderId="3" xfId="0" applyNumberFormat="1" applyFont="1" applyBorder="1"/>
    <xf numFmtId="165" fontId="11" fillId="0" borderId="3" xfId="2" applyNumberFormat="1" applyFont="1" applyBorder="1"/>
    <xf numFmtId="165" fontId="11" fillId="0" borderId="6" xfId="2" applyNumberFormat="1" applyFont="1" applyBorder="1"/>
    <xf numFmtId="165" fontId="0" fillId="0" borderId="6" xfId="0" applyNumberFormat="1" applyBorder="1"/>
    <xf numFmtId="164" fontId="2" fillId="2" borderId="6" xfId="1" applyNumberFormat="1" applyFont="1" applyFill="1" applyBorder="1" applyAlignment="1">
      <alignment horizontal="right"/>
    </xf>
    <xf numFmtId="164" fontId="0" fillId="0" borderId="6" xfId="0" applyNumberFormat="1" applyBorder="1"/>
    <xf numFmtId="3" fontId="0" fillId="0" borderId="0" xfId="0" applyNumberFormat="1" applyAlignment="1">
      <alignment horizontal="left"/>
    </xf>
    <xf numFmtId="165" fontId="0" fillId="0" borderId="0" xfId="2" applyNumberFormat="1" applyFont="1" applyAlignment="1">
      <alignment horizontal="left"/>
    </xf>
    <xf numFmtId="0" fontId="12" fillId="0" borderId="0" xfId="0" applyFont="1" applyAlignment="1">
      <alignment horizontal="left"/>
    </xf>
    <xf numFmtId="10" fontId="2" fillId="2" borderId="6" xfId="0" applyNumberFormat="1" applyFont="1" applyFill="1" applyBorder="1"/>
    <xf numFmtId="0" fontId="5" fillId="5" borderId="7" xfId="0" applyFont="1" applyFill="1" applyBorder="1" applyAlignment="1">
      <alignment vertical="center" wrapText="1"/>
    </xf>
    <xf numFmtId="0" fontId="5" fillId="5" borderId="4" xfId="0" applyFont="1" applyFill="1" applyBorder="1" applyAlignment="1">
      <alignment vertical="center" wrapText="1"/>
    </xf>
    <xf numFmtId="0" fontId="5" fillId="5" borderId="8" xfId="0" applyFont="1" applyFill="1" applyBorder="1" applyAlignment="1">
      <alignment vertical="center" wrapText="1"/>
    </xf>
    <xf numFmtId="0" fontId="0" fillId="0" borderId="7" xfId="0" applyBorder="1"/>
    <xf numFmtId="164" fontId="0" fillId="0" borderId="4" xfId="1" applyNumberFormat="1" applyFont="1" applyBorder="1"/>
    <xf numFmtId="165" fontId="0" fillId="0" borderId="4" xfId="0" applyNumberFormat="1" applyBorder="1"/>
    <xf numFmtId="0" fontId="2" fillId="2" borderId="7" xfId="0" applyFont="1" applyFill="1" applyBorder="1"/>
    <xf numFmtId="165" fontId="11" fillId="0" borderId="4" xfId="0" applyNumberFormat="1" applyFont="1" applyBorder="1"/>
    <xf numFmtId="10" fontId="11" fillId="0" borderId="4" xfId="0" applyNumberFormat="1" applyFont="1" applyBorder="1"/>
    <xf numFmtId="0" fontId="0" fillId="0" borderId="0" xfId="0" applyAlignment="1">
      <alignment vertical="center" wrapText="1"/>
    </xf>
    <xf numFmtId="0" fontId="0" fillId="0" borderId="0" xfId="0" applyAlignment="1">
      <alignment horizontal="left" vertical="center" wrapText="1"/>
    </xf>
    <xf numFmtId="165" fontId="0" fillId="0" borderId="0" xfId="0" applyNumberFormat="1"/>
    <xf numFmtId="165" fontId="11" fillId="0" borderId="0" xfId="0" applyNumberFormat="1" applyFont="1"/>
    <xf numFmtId="0" fontId="0" fillId="0" borderId="9" xfId="0" applyBorder="1"/>
    <xf numFmtId="164" fontId="0" fillId="0" borderId="0" xfId="1" applyNumberFormat="1" applyFont="1" applyBorder="1"/>
    <xf numFmtId="165" fontId="11" fillId="0" borderId="6" xfId="0" applyNumberFormat="1" applyFont="1" applyBorder="1"/>
    <xf numFmtId="165" fontId="0" fillId="0" borderId="8" xfId="1" applyNumberFormat="1" applyFont="1" applyBorder="1"/>
    <xf numFmtId="164" fontId="2" fillId="2" borderId="8" xfId="1" applyNumberFormat="1" applyFont="1" applyFill="1" applyBorder="1" applyAlignment="1">
      <alignment horizontal="right"/>
    </xf>
    <xf numFmtId="164" fontId="0" fillId="0" borderId="8" xfId="1" applyNumberFormat="1" applyFont="1" applyBorder="1"/>
    <xf numFmtId="0" fontId="2" fillId="0" borderId="0" xfId="0" applyFont="1" applyAlignment="1">
      <alignment horizontal="left"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13" fillId="0" borderId="2" xfId="0" applyFont="1" applyBorder="1" applyAlignment="1">
      <alignment horizontal="left" wrapText="1"/>
    </xf>
    <xf numFmtId="0" fontId="3" fillId="0" borderId="0" xfId="0" applyFont="1" applyAlignment="1">
      <alignment horizontal="left"/>
    </xf>
  </cellXfs>
  <cellStyles count="3">
    <cellStyle name="Comma" xfId="1" builtinId="3"/>
    <cellStyle name="Normal" xfId="0" builtinId="0"/>
    <cellStyle name="Percent" xfId="2" builtinId="5"/>
  </cellStyles>
  <dxfs count="13">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alignment vertical="bottom" textRotation="0" wrapText="1" indent="0" justifyLastLine="0" shrinkToFit="0" readingOrder="0"/>
    </dxf>
    <dxf>
      <alignment horizontal="general" vertical="center" textRotation="0" wrapText="1" indent="0" justifyLastLine="0" shrinkToFit="0" readingOrder="0"/>
    </dxf>
    <dxf>
      <border outline="0">
        <bottom style="thin">
          <color auto="1"/>
        </bottom>
      </border>
    </dxf>
    <dxf>
      <font>
        <b/>
        <i val="0"/>
        <strike val="0"/>
        <condense val="0"/>
        <extend val="0"/>
        <outline val="0"/>
        <shadow val="0"/>
        <u val="none"/>
        <vertAlign val="baseline"/>
        <sz val="11"/>
        <color theme="0"/>
        <name val="Calibri"/>
        <family val="2"/>
        <scheme val="minor"/>
      </font>
      <fill>
        <patternFill patternType="solid">
          <fgColor indexed="64"/>
          <bgColor theme="3"/>
        </patternFill>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'PACT Act Related Claims Submit'!$K$4</c:f>
          <c:strCache>
            <c:ptCount val="1"/>
            <c:pt idx="0">
              <c:v>PACT Act Claims Submitted By Race / Ethnicity Compared to Baseline</c:v>
            </c:pt>
          </c:strCache>
        </c:strRef>
      </c:tx>
      <c:overlay val="0"/>
      <c:spPr>
        <a:noFill/>
        <a:ln>
          <a:noFill/>
        </a:ln>
        <a:effectLst/>
      </c:spPr>
      <c:txPr>
        <a:bodyPr rot="0" spcFirstLastPara="1" vertOverflow="ellipsis" vert="horz" wrap="square" anchor="ctr" anchorCtr="1"/>
        <a:lstStyle/>
        <a:p>
          <a:pPr>
            <a:defRPr sz="1000" b="1"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bar"/>
        <c:grouping val="clustered"/>
        <c:varyColors val="0"/>
        <c:ser>
          <c:idx val="0"/>
          <c:order val="0"/>
          <c:tx>
            <c:strRef>
              <c:f>'PACT Act Related Claims Submit'!$D$6</c:f>
              <c:strCache>
                <c:ptCount val="1"/>
                <c:pt idx="0">
                  <c:v>Percent Claims Submitted with Known Race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'PACT Act Related Claims Submit'!$A$7:$A$13</c:f>
              <c:strCache>
                <c:ptCount val="7"/>
                <c:pt idx="0">
                  <c:v>American Indian or Alaska Native, non-Hispanic</c:v>
                </c:pt>
                <c:pt idx="1">
                  <c:v>Asian, non-Hispanic</c:v>
                </c:pt>
                <c:pt idx="2">
                  <c:v>Black or African American, non-Hispanic</c:v>
                </c:pt>
                <c:pt idx="3">
                  <c:v>Hispanic or Latino, of any race</c:v>
                </c:pt>
                <c:pt idx="4">
                  <c:v>Native Hawaiian or Other Pacific Islander, non-Hispanic</c:v>
                </c:pt>
                <c:pt idx="5">
                  <c:v>White, non-Hispanic</c:v>
                </c:pt>
                <c:pt idx="6">
                  <c:v>"Two or More Races", non-Hispanic </c:v>
                </c:pt>
              </c:strCache>
            </c:strRef>
          </c:cat>
          <c:val>
            <c:numRef>
              <c:f>'PACT Act Related Claims Submit'!$D$7:$D$13</c:f>
              <c:numCache>
                <c:formatCode>0.0%</c:formatCode>
                <c:ptCount val="7"/>
                <c:pt idx="0">
                  <c:v>9.5914994575631921E-3</c:v>
                </c:pt>
                <c:pt idx="1">
                  <c:v>1.9854426408279738E-2</c:v>
                </c:pt>
                <c:pt idx="2">
                  <c:v>0.21625485404901196</c:v>
                </c:pt>
                <c:pt idx="3">
                  <c:v>9.4919118897867541E-2</c:v>
                </c:pt>
                <c:pt idx="4">
                  <c:v>1.2047391966077139E-2</c:v>
                </c:pt>
                <c:pt idx="5">
                  <c:v>0.64479119844174748</c:v>
                </c:pt>
                <c:pt idx="6">
                  <c:v>2.5415107794529669E-3</c:v>
                </c:pt>
              </c:numCache>
            </c:numRef>
          </c:val>
          <c:extLst>
            <c:ext xmlns:c16="http://schemas.microsoft.com/office/drawing/2014/chart" uri="{C3380CC4-5D6E-409C-BE32-E72D297353CC}">
              <c16:uniqueId val="{00000004-8CA9-4638-BA7B-675EF0E35E29}"/>
            </c:ext>
          </c:extLst>
        </c:ser>
        <c:ser>
          <c:idx val="1"/>
          <c:order val="1"/>
          <c:tx>
            <c:strRef>
              <c:f>'PACT Act Related Claims Submit'!$E$6</c:f>
              <c:strCache>
                <c:ptCount val="1"/>
                <c:pt idx="0">
                  <c:v>Percent Baseline with Known Race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'PACT Act Related Claims Submit'!$A$7:$A$13</c:f>
              <c:strCache>
                <c:ptCount val="7"/>
                <c:pt idx="0">
                  <c:v>American Indian or Alaska Native, non-Hispanic</c:v>
                </c:pt>
                <c:pt idx="1">
                  <c:v>Asian, non-Hispanic</c:v>
                </c:pt>
                <c:pt idx="2">
                  <c:v>Black or African American, non-Hispanic</c:v>
                </c:pt>
                <c:pt idx="3">
                  <c:v>Hispanic or Latino, of any race</c:v>
                </c:pt>
                <c:pt idx="4">
                  <c:v>Native Hawaiian or Other Pacific Islander, non-Hispanic</c:v>
                </c:pt>
                <c:pt idx="5">
                  <c:v>White, non-Hispanic</c:v>
                </c:pt>
                <c:pt idx="6">
                  <c:v>"Two or More Races", non-Hispanic </c:v>
                </c:pt>
              </c:strCache>
            </c:strRef>
          </c:cat>
          <c:val>
            <c:numRef>
              <c:f>'PACT Act Related Claims Submit'!$E$7:$E$13</c:f>
              <c:numCache>
                <c:formatCode>0.0%</c:formatCode>
                <c:ptCount val="7"/>
                <c:pt idx="0">
                  <c:v>8.5933529979754387E-3</c:v>
                </c:pt>
                <c:pt idx="1">
                  <c:v>1.8841911426745531E-2</c:v>
                </c:pt>
                <c:pt idx="2">
                  <c:v>0.14475463689172166</c:v>
                </c:pt>
                <c:pt idx="3">
                  <c:v>8.8893889620613606E-2</c:v>
                </c:pt>
                <c:pt idx="4">
                  <c:v>1.1720464979802192E-2</c:v>
                </c:pt>
                <c:pt idx="5">
                  <c:v>0.71970089741072407</c:v>
                </c:pt>
                <c:pt idx="6">
                  <c:v>7.4948466724175083E-3</c:v>
                </c:pt>
              </c:numCache>
            </c:numRef>
          </c:val>
          <c:extLst>
            <c:ext xmlns:c16="http://schemas.microsoft.com/office/drawing/2014/chart" uri="{C3380CC4-5D6E-409C-BE32-E72D297353CC}">
              <c16:uniqueId val="{00000005-8CA9-4638-BA7B-675EF0E35E29}"/>
            </c:ext>
          </c:extLst>
        </c:ser>
        <c:dLbls>
          <c:showLegendKey val="0"/>
          <c:showVal val="0"/>
          <c:showCatName val="0"/>
          <c:showSerName val="0"/>
          <c:showPercent val="0"/>
          <c:showBubbleSize val="0"/>
        </c:dLbls>
        <c:gapWidth val="61"/>
        <c:axId val="137783296"/>
        <c:axId val="137785696"/>
      </c:barChart>
      <c:catAx>
        <c:axId val="137783296"/>
        <c:scaling>
          <c:orientation val="maxMin"/>
        </c:scaling>
        <c:delete val="0"/>
        <c:axPos val="l"/>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lumMod val="65000"/>
                    <a:lumOff val="35000"/>
                  </a:schemeClr>
                </a:solidFill>
                <a:latin typeface="+mn-lt"/>
                <a:ea typeface="+mn-ea"/>
                <a:cs typeface="+mn-cs"/>
              </a:defRPr>
            </a:pPr>
            <a:endParaRPr lang="en-US"/>
          </a:p>
        </c:txPr>
        <c:crossAx val="137785696"/>
        <c:crosses val="autoZero"/>
        <c:auto val="1"/>
        <c:lblAlgn val="ctr"/>
        <c:lblOffset val="100"/>
        <c:noMultiLvlLbl val="0"/>
      </c:catAx>
      <c:valAx>
        <c:axId val="137785696"/>
        <c:scaling>
          <c:orientation val="minMax"/>
        </c:scaling>
        <c:delete val="0"/>
        <c:axPos val="t"/>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7783296"/>
        <c:crosses val="autoZero"/>
        <c:crossBetween val="between"/>
      </c:valAx>
      <c:spPr>
        <a:solidFill>
          <a:schemeClr val="bg1"/>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'PACT Act Related Claims Submit'!$K$19</c:f>
          <c:strCache>
            <c:ptCount val="1"/>
            <c:pt idx="0">
              <c:v>PACT Act Claims Submitted by Gender</c:v>
            </c:pt>
          </c:strCache>
        </c:strRef>
      </c:tx>
      <c:overlay val="0"/>
      <c:spPr>
        <a:noFill/>
        <a:ln>
          <a:noFill/>
        </a:ln>
        <a:effectLst/>
      </c:spPr>
      <c:txPr>
        <a:bodyPr rot="0" spcFirstLastPara="1" vertOverflow="ellipsis" vert="horz" wrap="square" anchor="ctr" anchorCtr="1"/>
        <a:lstStyle/>
        <a:p>
          <a:pPr>
            <a:defRPr sz="1000" b="1"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bar"/>
        <c:grouping val="clustered"/>
        <c:varyColors val="0"/>
        <c:ser>
          <c:idx val="0"/>
          <c:order val="0"/>
          <c:tx>
            <c:strRef>
              <c:f>'PACT Act Related Claims Submit'!$D$20</c:f>
              <c:strCache>
                <c:ptCount val="1"/>
                <c:pt idx="0">
                  <c:v>Percent Claims Submitted with Known Gender</c:v>
                </c:pt>
              </c:strCache>
            </c:strRef>
          </c:tx>
          <c:spPr>
            <a:solidFill>
              <a:schemeClr val="accent1"/>
            </a:solidFill>
            <a:ln>
              <a:noFill/>
            </a:ln>
            <a:effectLst/>
          </c:spPr>
          <c:invertIfNegative val="0"/>
          <c:cat>
            <c:strRef>
              <c:f>'PACT Act Related Claims Submit'!$A$21:$A$22</c:f>
              <c:strCache>
                <c:ptCount val="2"/>
                <c:pt idx="0">
                  <c:v>Female</c:v>
                </c:pt>
                <c:pt idx="1">
                  <c:v>Male</c:v>
                </c:pt>
              </c:strCache>
            </c:strRef>
          </c:cat>
          <c:val>
            <c:numRef>
              <c:f>'PACT Act Related Claims Submit'!$D$21:$D$22</c:f>
              <c:numCache>
                <c:formatCode>0.0%</c:formatCode>
                <c:ptCount val="2"/>
                <c:pt idx="0">
                  <c:v>8.8723780552898923E-2</c:v>
                </c:pt>
                <c:pt idx="1">
                  <c:v>0.91127621944710102</c:v>
                </c:pt>
              </c:numCache>
            </c:numRef>
          </c:val>
          <c:extLst>
            <c:ext xmlns:c16="http://schemas.microsoft.com/office/drawing/2014/chart" uri="{C3380CC4-5D6E-409C-BE32-E72D297353CC}">
              <c16:uniqueId val="{00000005-510F-4F6F-9C1E-9E2818FDE750}"/>
            </c:ext>
          </c:extLst>
        </c:ser>
        <c:ser>
          <c:idx val="1"/>
          <c:order val="1"/>
          <c:tx>
            <c:strRef>
              <c:f>'PACT Act Related Claims Submit'!$E$20</c:f>
              <c:strCache>
                <c:ptCount val="1"/>
                <c:pt idx="0">
                  <c:v>Percent Baseline with Known Gender</c:v>
                </c:pt>
              </c:strCache>
            </c:strRef>
          </c:tx>
          <c:spPr>
            <a:solidFill>
              <a:schemeClr val="accent2"/>
            </a:solidFill>
            <a:ln>
              <a:noFill/>
            </a:ln>
            <a:effectLst/>
          </c:spPr>
          <c:invertIfNegative val="0"/>
          <c:cat>
            <c:strRef>
              <c:f>'PACT Act Related Claims Submit'!$A$21:$A$22</c:f>
              <c:strCache>
                <c:ptCount val="2"/>
                <c:pt idx="0">
                  <c:v>Female</c:v>
                </c:pt>
                <c:pt idx="1">
                  <c:v>Male</c:v>
                </c:pt>
              </c:strCache>
            </c:strRef>
          </c:cat>
          <c:val>
            <c:numRef>
              <c:f>'PACT Act Related Claims Submit'!$E$21:$E$22</c:f>
              <c:numCache>
                <c:formatCode>0.0%</c:formatCode>
                <c:ptCount val="2"/>
                <c:pt idx="0">
                  <c:v>9.2566699243153708E-2</c:v>
                </c:pt>
                <c:pt idx="1">
                  <c:v>0.90743330075684625</c:v>
                </c:pt>
              </c:numCache>
            </c:numRef>
          </c:val>
          <c:extLst>
            <c:ext xmlns:c16="http://schemas.microsoft.com/office/drawing/2014/chart" uri="{C3380CC4-5D6E-409C-BE32-E72D297353CC}">
              <c16:uniqueId val="{00000006-510F-4F6F-9C1E-9E2818FDE750}"/>
            </c:ext>
          </c:extLst>
        </c:ser>
        <c:dLbls>
          <c:showLegendKey val="0"/>
          <c:showVal val="0"/>
          <c:showCatName val="0"/>
          <c:showSerName val="0"/>
          <c:showPercent val="0"/>
          <c:showBubbleSize val="0"/>
        </c:dLbls>
        <c:gapWidth val="61"/>
        <c:axId val="137783296"/>
        <c:axId val="137785696"/>
      </c:barChart>
      <c:catAx>
        <c:axId val="137783296"/>
        <c:scaling>
          <c:orientation val="maxMin"/>
        </c:scaling>
        <c:delete val="0"/>
        <c:axPos val="l"/>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lumMod val="65000"/>
                    <a:lumOff val="35000"/>
                  </a:schemeClr>
                </a:solidFill>
                <a:latin typeface="+mn-lt"/>
                <a:ea typeface="+mn-ea"/>
                <a:cs typeface="+mn-cs"/>
              </a:defRPr>
            </a:pPr>
            <a:endParaRPr lang="en-US"/>
          </a:p>
        </c:txPr>
        <c:crossAx val="137785696"/>
        <c:crosses val="autoZero"/>
        <c:auto val="1"/>
        <c:lblAlgn val="ctr"/>
        <c:lblOffset val="100"/>
        <c:noMultiLvlLbl val="0"/>
      </c:catAx>
      <c:valAx>
        <c:axId val="137785696"/>
        <c:scaling>
          <c:orientation val="minMax"/>
          <c:min val="0"/>
        </c:scaling>
        <c:delete val="0"/>
        <c:axPos val="t"/>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7783296"/>
        <c:crosses val="autoZero"/>
        <c:crossBetween val="between"/>
      </c:valAx>
      <c:spPr>
        <a:solidFill>
          <a:schemeClr val="bg1"/>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'PACT Act Related Claims Submit'!$K$27</c:f>
          <c:strCache>
            <c:ptCount val="1"/>
            <c:pt idx="0">
              <c:v>PACT Act Claims Submitted by Age</c:v>
            </c:pt>
          </c:strCache>
        </c:strRef>
      </c:tx>
      <c:overlay val="0"/>
      <c:spPr>
        <a:noFill/>
        <a:ln>
          <a:noFill/>
        </a:ln>
        <a:effectLst/>
      </c:spPr>
      <c:txPr>
        <a:bodyPr rot="0" spcFirstLastPara="1" vertOverflow="ellipsis" vert="horz" wrap="square" anchor="ctr" anchorCtr="1"/>
        <a:lstStyle/>
        <a:p>
          <a:pPr>
            <a:defRPr sz="1050" b="1"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bar"/>
        <c:grouping val="clustered"/>
        <c:varyColors val="0"/>
        <c:ser>
          <c:idx val="0"/>
          <c:order val="0"/>
          <c:tx>
            <c:strRef>
              <c:f>'PACT Act Related Claims Submit'!$D$28</c:f>
              <c:strCache>
                <c:ptCount val="1"/>
                <c:pt idx="0">
                  <c:v>Percent Claims Submitted with Known Age</c:v>
                </c:pt>
              </c:strCache>
            </c:strRef>
          </c:tx>
          <c:spPr>
            <a:solidFill>
              <a:schemeClr val="accent1"/>
            </a:solidFill>
            <a:ln>
              <a:noFill/>
            </a:ln>
            <a:effectLst/>
          </c:spPr>
          <c:invertIfNegative val="0"/>
          <c:cat>
            <c:strRef>
              <c:f>'PACT Act Related Claims Submit'!$A$29:$A$35</c:f>
              <c:strCache>
                <c:ptCount val="7"/>
                <c:pt idx="0">
                  <c:v>&lt;25</c:v>
                </c:pt>
                <c:pt idx="1">
                  <c:v>25-34</c:v>
                </c:pt>
                <c:pt idx="2">
                  <c:v>35-44</c:v>
                </c:pt>
                <c:pt idx="3">
                  <c:v>45-54</c:v>
                </c:pt>
                <c:pt idx="4">
                  <c:v>55-64</c:v>
                </c:pt>
                <c:pt idx="5">
                  <c:v>65-84</c:v>
                </c:pt>
                <c:pt idx="6">
                  <c:v>85+</c:v>
                </c:pt>
              </c:strCache>
            </c:strRef>
          </c:cat>
          <c:val>
            <c:numRef>
              <c:f>'PACT Act Related Claims Submit'!$D$29:$D$35</c:f>
              <c:numCache>
                <c:formatCode>0.0%</c:formatCode>
                <c:ptCount val="7"/>
                <c:pt idx="0">
                  <c:v>1.208478830985745E-2</c:v>
                </c:pt>
                <c:pt idx="1">
                  <c:v>9.1329788931650127E-2</c:v>
                </c:pt>
                <c:pt idx="2">
                  <c:v>0.17350546902426972</c:v>
                </c:pt>
                <c:pt idx="3">
                  <c:v>0.15313047851623759</c:v>
                </c:pt>
                <c:pt idx="4">
                  <c:v>0.15287515833702925</c:v>
                </c:pt>
                <c:pt idx="5">
                  <c:v>0.40045539435412247</c:v>
                </c:pt>
                <c:pt idx="6">
                  <c:v>1.661892252683338E-2</c:v>
                </c:pt>
              </c:numCache>
            </c:numRef>
          </c:val>
          <c:extLst>
            <c:ext xmlns:c16="http://schemas.microsoft.com/office/drawing/2014/chart" uri="{C3380CC4-5D6E-409C-BE32-E72D297353CC}">
              <c16:uniqueId val="{00000008-85D0-4A69-9A7E-D74BF4436F72}"/>
            </c:ext>
          </c:extLst>
        </c:ser>
        <c:ser>
          <c:idx val="1"/>
          <c:order val="1"/>
          <c:tx>
            <c:strRef>
              <c:f>'PACT Act Related Claims Submit'!$E$28</c:f>
              <c:strCache>
                <c:ptCount val="1"/>
                <c:pt idx="0">
                  <c:v>Percent Baseline with Known Age</c:v>
                </c:pt>
              </c:strCache>
            </c:strRef>
          </c:tx>
          <c:spPr>
            <a:solidFill>
              <a:schemeClr val="accent2"/>
            </a:solidFill>
            <a:ln>
              <a:noFill/>
            </a:ln>
            <a:effectLst/>
          </c:spPr>
          <c:invertIfNegative val="0"/>
          <c:cat>
            <c:strRef>
              <c:f>'PACT Act Related Claims Submit'!$A$29:$A$35</c:f>
              <c:strCache>
                <c:ptCount val="7"/>
                <c:pt idx="0">
                  <c:v>&lt;25</c:v>
                </c:pt>
                <c:pt idx="1">
                  <c:v>25-34</c:v>
                </c:pt>
                <c:pt idx="2">
                  <c:v>35-44</c:v>
                </c:pt>
                <c:pt idx="3">
                  <c:v>45-54</c:v>
                </c:pt>
                <c:pt idx="4">
                  <c:v>55-64</c:v>
                </c:pt>
                <c:pt idx="5">
                  <c:v>65-84</c:v>
                </c:pt>
                <c:pt idx="6">
                  <c:v>85+</c:v>
                </c:pt>
              </c:strCache>
            </c:strRef>
          </c:cat>
          <c:val>
            <c:numRef>
              <c:f>'PACT Act Related Claims Submit'!$E$29:$E$35</c:f>
              <c:numCache>
                <c:formatCode>0.0%</c:formatCode>
                <c:ptCount val="7"/>
                <c:pt idx="0">
                  <c:v>1.559564533861358E-2</c:v>
                </c:pt>
                <c:pt idx="1">
                  <c:v>0.13675584474885064</c:v>
                </c:pt>
                <c:pt idx="2">
                  <c:v>0.24839032942219022</c:v>
                </c:pt>
                <c:pt idx="3">
                  <c:v>0.17560031767797066</c:v>
                </c:pt>
                <c:pt idx="4">
                  <c:v>0.11881341077861418</c:v>
                </c:pt>
                <c:pt idx="5">
                  <c:v>0.29291491461077168</c:v>
                </c:pt>
                <c:pt idx="6">
                  <c:v>1.192953742298904E-2</c:v>
                </c:pt>
              </c:numCache>
            </c:numRef>
          </c:val>
          <c:extLst>
            <c:ext xmlns:c16="http://schemas.microsoft.com/office/drawing/2014/chart" uri="{C3380CC4-5D6E-409C-BE32-E72D297353CC}">
              <c16:uniqueId val="{00000009-85D0-4A69-9A7E-D74BF4436F72}"/>
            </c:ext>
          </c:extLst>
        </c:ser>
        <c:dLbls>
          <c:showLegendKey val="0"/>
          <c:showVal val="0"/>
          <c:showCatName val="0"/>
          <c:showSerName val="0"/>
          <c:showPercent val="0"/>
          <c:showBubbleSize val="0"/>
        </c:dLbls>
        <c:gapWidth val="61"/>
        <c:axId val="137783296"/>
        <c:axId val="137785696"/>
      </c:barChart>
      <c:catAx>
        <c:axId val="137783296"/>
        <c:scaling>
          <c:orientation val="maxMin"/>
        </c:scaling>
        <c:delete val="0"/>
        <c:axPos val="l"/>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lumMod val="65000"/>
                    <a:lumOff val="35000"/>
                  </a:schemeClr>
                </a:solidFill>
                <a:latin typeface="+mn-lt"/>
                <a:ea typeface="+mn-ea"/>
                <a:cs typeface="+mn-cs"/>
              </a:defRPr>
            </a:pPr>
            <a:endParaRPr lang="en-US"/>
          </a:p>
        </c:txPr>
        <c:crossAx val="137785696"/>
        <c:crosses val="autoZero"/>
        <c:auto val="1"/>
        <c:lblAlgn val="ctr"/>
        <c:lblOffset val="100"/>
        <c:noMultiLvlLbl val="0"/>
      </c:catAx>
      <c:valAx>
        <c:axId val="137785696"/>
        <c:scaling>
          <c:orientation val="minMax"/>
          <c:min val="0"/>
        </c:scaling>
        <c:delete val="0"/>
        <c:axPos val="t"/>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7783296"/>
        <c:crosses val="autoZero"/>
        <c:crossBetween val="between"/>
      </c:valAx>
      <c:spPr>
        <a:solidFill>
          <a:schemeClr val="bg1"/>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0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'Toxic Exposure Screenings'!$K$4</c:f>
          <c:strCache>
            <c:ptCount val="1"/>
            <c:pt idx="0">
              <c:v>Toxic Exposure Screenings by Race/Ethnicity</c:v>
            </c:pt>
          </c:strCache>
        </c:strRef>
      </c:tx>
      <c:overlay val="0"/>
      <c:spPr>
        <a:noFill/>
        <a:ln>
          <a:noFill/>
        </a:ln>
        <a:effectLst/>
      </c:spPr>
      <c:txPr>
        <a:bodyPr rot="0" spcFirstLastPara="1" vertOverflow="ellipsis" vert="horz" wrap="square" anchor="ctr" anchorCtr="1"/>
        <a:lstStyle/>
        <a:p>
          <a:pPr>
            <a:defRPr sz="1000" b="1"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bar"/>
        <c:grouping val="clustered"/>
        <c:varyColors val="0"/>
        <c:ser>
          <c:idx val="0"/>
          <c:order val="0"/>
          <c:tx>
            <c:strRef>
              <c:f>'Toxic Exposure Screenings'!$D$6</c:f>
              <c:strCache>
                <c:ptCount val="1"/>
                <c:pt idx="0">
                  <c:v>Percent Toxic Exposure Screenings with Known Race</c:v>
                </c:pt>
              </c:strCache>
            </c:strRef>
          </c:tx>
          <c:spPr>
            <a:solidFill>
              <a:schemeClr val="accent1"/>
            </a:solidFill>
            <a:ln>
              <a:noFill/>
            </a:ln>
            <a:effectLst/>
          </c:spPr>
          <c:invertIfNegative val="0"/>
          <c:cat>
            <c:strRef>
              <c:f>'Toxic Exposure Screenings'!$A$7:$A$13</c:f>
              <c:strCache>
                <c:ptCount val="7"/>
                <c:pt idx="0">
                  <c:v>American Indian or Alaska Native, non-Hispanic</c:v>
                </c:pt>
                <c:pt idx="1">
                  <c:v>Asian, non-Hispanic</c:v>
                </c:pt>
                <c:pt idx="2">
                  <c:v>Black or African American, non-Hispanic</c:v>
                </c:pt>
                <c:pt idx="3">
                  <c:v>Hispanic or Latino, of any race</c:v>
                </c:pt>
                <c:pt idx="4">
                  <c:v>Native Hawaiian or Other Pacific Islander, non-Hispanic</c:v>
                </c:pt>
                <c:pt idx="5">
                  <c:v>White, non-Hispanic</c:v>
                </c:pt>
                <c:pt idx="6">
                  <c:v>"Two or More Races", non-Hispanic </c:v>
                </c:pt>
              </c:strCache>
            </c:strRef>
          </c:cat>
          <c:val>
            <c:numRef>
              <c:f>'Toxic Exposure Screenings'!$D$7:$D$13</c:f>
              <c:numCache>
                <c:formatCode>0.0%</c:formatCode>
                <c:ptCount val="7"/>
                <c:pt idx="0">
                  <c:v>9.3106866716016236E-3</c:v>
                </c:pt>
                <c:pt idx="1">
                  <c:v>1.4662283702786135E-2</c:v>
                </c:pt>
                <c:pt idx="2">
                  <c:v>0.19303484932355924</c:v>
                </c:pt>
                <c:pt idx="3">
                  <c:v>7.9539779457820578E-2</c:v>
                </c:pt>
                <c:pt idx="4">
                  <c:v>9.6843089830845469E-3</c:v>
                </c:pt>
                <c:pt idx="5">
                  <c:v>0.69165494380963133</c:v>
                </c:pt>
                <c:pt idx="6">
                  <c:v>2.1131480515164725E-3</c:v>
                </c:pt>
              </c:numCache>
            </c:numRef>
          </c:val>
          <c:extLst>
            <c:ext xmlns:c16="http://schemas.microsoft.com/office/drawing/2014/chart" uri="{C3380CC4-5D6E-409C-BE32-E72D297353CC}">
              <c16:uniqueId val="{00000000-EE90-4F8E-A820-F8FED119B92B}"/>
            </c:ext>
          </c:extLst>
        </c:ser>
        <c:ser>
          <c:idx val="1"/>
          <c:order val="1"/>
          <c:tx>
            <c:strRef>
              <c:f>'Toxic Exposure Screenings'!$E$6</c:f>
              <c:strCache>
                <c:ptCount val="1"/>
                <c:pt idx="0">
                  <c:v>Percent Baseline with Known Race</c:v>
                </c:pt>
              </c:strCache>
            </c:strRef>
          </c:tx>
          <c:spPr>
            <a:solidFill>
              <a:schemeClr val="accent2"/>
            </a:solidFill>
            <a:ln>
              <a:noFill/>
            </a:ln>
            <a:effectLst/>
          </c:spPr>
          <c:invertIfNegative val="0"/>
          <c:cat>
            <c:strRef>
              <c:f>'Toxic Exposure Screenings'!$A$7:$A$13</c:f>
              <c:strCache>
                <c:ptCount val="7"/>
                <c:pt idx="0">
                  <c:v>American Indian or Alaska Native, non-Hispanic</c:v>
                </c:pt>
                <c:pt idx="1">
                  <c:v>Asian, non-Hispanic</c:v>
                </c:pt>
                <c:pt idx="2">
                  <c:v>Black or African American, non-Hispanic</c:v>
                </c:pt>
                <c:pt idx="3">
                  <c:v>Hispanic or Latino, of any race</c:v>
                </c:pt>
                <c:pt idx="4">
                  <c:v>Native Hawaiian or Other Pacific Islander, non-Hispanic</c:v>
                </c:pt>
                <c:pt idx="5">
                  <c:v>White, non-Hispanic</c:v>
                </c:pt>
                <c:pt idx="6">
                  <c:v>"Two or More Races", non-Hispanic </c:v>
                </c:pt>
              </c:strCache>
            </c:strRef>
          </c:cat>
          <c:val>
            <c:numRef>
              <c:f>'Toxic Exposure Screenings'!$E$7:$E$13</c:f>
              <c:numCache>
                <c:formatCode>0.0%</c:formatCode>
                <c:ptCount val="7"/>
                <c:pt idx="0">
                  <c:v>9.8111473295264973E-3</c:v>
                </c:pt>
                <c:pt idx="1">
                  <c:v>1.686207282802861E-2</c:v>
                </c:pt>
                <c:pt idx="2">
                  <c:v>0.1729206763077738</c:v>
                </c:pt>
                <c:pt idx="3">
                  <c:v>8.0059279158422272E-2</c:v>
                </c:pt>
                <c:pt idx="4">
                  <c:v>9.9501728995463421E-3</c:v>
                </c:pt>
                <c:pt idx="5">
                  <c:v>0.70826924810817771</c:v>
                </c:pt>
                <c:pt idx="6">
                  <c:v>2.1274033685247311E-3</c:v>
                </c:pt>
              </c:numCache>
            </c:numRef>
          </c:val>
          <c:extLst>
            <c:ext xmlns:c16="http://schemas.microsoft.com/office/drawing/2014/chart" uri="{C3380CC4-5D6E-409C-BE32-E72D297353CC}">
              <c16:uniqueId val="{00000001-EE90-4F8E-A820-F8FED119B92B}"/>
            </c:ext>
          </c:extLst>
        </c:ser>
        <c:dLbls>
          <c:showLegendKey val="0"/>
          <c:showVal val="0"/>
          <c:showCatName val="0"/>
          <c:showSerName val="0"/>
          <c:showPercent val="0"/>
          <c:showBubbleSize val="0"/>
        </c:dLbls>
        <c:gapWidth val="61"/>
        <c:axId val="137783296"/>
        <c:axId val="137785696"/>
      </c:barChart>
      <c:catAx>
        <c:axId val="137783296"/>
        <c:scaling>
          <c:orientation val="maxMin"/>
        </c:scaling>
        <c:delete val="0"/>
        <c:axPos val="l"/>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lumMod val="65000"/>
                    <a:lumOff val="35000"/>
                  </a:schemeClr>
                </a:solidFill>
                <a:latin typeface="+mn-lt"/>
                <a:ea typeface="+mn-ea"/>
                <a:cs typeface="+mn-cs"/>
              </a:defRPr>
            </a:pPr>
            <a:endParaRPr lang="en-US"/>
          </a:p>
        </c:txPr>
        <c:crossAx val="137785696"/>
        <c:crosses val="autoZero"/>
        <c:auto val="1"/>
        <c:lblAlgn val="ctr"/>
        <c:lblOffset val="100"/>
        <c:noMultiLvlLbl val="0"/>
      </c:catAx>
      <c:valAx>
        <c:axId val="137785696"/>
        <c:scaling>
          <c:orientation val="minMax"/>
        </c:scaling>
        <c:delete val="0"/>
        <c:axPos val="t"/>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7783296"/>
        <c:crosses val="autoZero"/>
        <c:crossBetween val="between"/>
      </c:valAx>
      <c:spPr>
        <a:solidFill>
          <a:schemeClr val="bg1"/>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'Toxic Exposure Screenings'!$K$19</c:f>
          <c:strCache>
            <c:ptCount val="1"/>
            <c:pt idx="0">
              <c:v>Toxic Exposure Screenings by Gender</c:v>
            </c:pt>
          </c:strCache>
        </c:strRef>
      </c:tx>
      <c:overlay val="0"/>
      <c:spPr>
        <a:noFill/>
        <a:ln>
          <a:noFill/>
        </a:ln>
        <a:effectLst/>
      </c:spPr>
      <c:txPr>
        <a:bodyPr rot="0" spcFirstLastPara="1" vertOverflow="ellipsis" vert="horz" wrap="square" anchor="ctr" anchorCtr="1"/>
        <a:lstStyle/>
        <a:p>
          <a:pPr>
            <a:defRPr sz="1000" b="1"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bar"/>
        <c:grouping val="clustered"/>
        <c:varyColors val="0"/>
        <c:ser>
          <c:idx val="0"/>
          <c:order val="0"/>
          <c:tx>
            <c:strRef>
              <c:f>'Toxic Exposure Screenings'!$D$20</c:f>
              <c:strCache>
                <c:ptCount val="1"/>
                <c:pt idx="0">
                  <c:v>Percent Toxic Exposure Screenings with Known Gender</c:v>
                </c:pt>
              </c:strCache>
            </c:strRef>
          </c:tx>
          <c:spPr>
            <a:solidFill>
              <a:schemeClr val="accent1"/>
            </a:solidFill>
            <a:ln>
              <a:noFill/>
            </a:ln>
            <a:effectLst/>
          </c:spPr>
          <c:invertIfNegative val="0"/>
          <c:cat>
            <c:strRef>
              <c:f>'Toxic Exposure Screenings'!$A$21:$A$22</c:f>
              <c:strCache>
                <c:ptCount val="2"/>
                <c:pt idx="0">
                  <c:v>Female</c:v>
                </c:pt>
                <c:pt idx="1">
                  <c:v>Male</c:v>
                </c:pt>
              </c:strCache>
            </c:strRef>
          </c:cat>
          <c:val>
            <c:numRef>
              <c:f>'Toxic Exposure Screenings'!$D$21:$D$22</c:f>
              <c:numCache>
                <c:formatCode>0.0%</c:formatCode>
                <c:ptCount val="2"/>
                <c:pt idx="0">
                  <c:v>0.10734801612474355</c:v>
                </c:pt>
                <c:pt idx="1">
                  <c:v>0.89265198387525646</c:v>
                </c:pt>
              </c:numCache>
            </c:numRef>
          </c:val>
          <c:extLst>
            <c:ext xmlns:c16="http://schemas.microsoft.com/office/drawing/2014/chart" uri="{C3380CC4-5D6E-409C-BE32-E72D297353CC}">
              <c16:uniqueId val="{00000000-66DE-4446-BEBD-DBEC88AB91F4}"/>
            </c:ext>
          </c:extLst>
        </c:ser>
        <c:ser>
          <c:idx val="1"/>
          <c:order val="1"/>
          <c:tx>
            <c:strRef>
              <c:f>'Toxic Exposure Screenings'!$E$20</c:f>
              <c:strCache>
                <c:ptCount val="1"/>
                <c:pt idx="0">
                  <c:v>Percent Baseline with Known Gender</c:v>
                </c:pt>
              </c:strCache>
            </c:strRef>
          </c:tx>
          <c:spPr>
            <a:solidFill>
              <a:schemeClr val="accent2"/>
            </a:solidFill>
            <a:ln>
              <a:noFill/>
            </a:ln>
            <a:effectLst/>
          </c:spPr>
          <c:invertIfNegative val="0"/>
          <c:cat>
            <c:strRef>
              <c:f>'Toxic Exposure Screenings'!$A$21:$A$22</c:f>
              <c:strCache>
                <c:ptCount val="2"/>
                <c:pt idx="0">
                  <c:v>Female</c:v>
                </c:pt>
                <c:pt idx="1">
                  <c:v>Male</c:v>
                </c:pt>
              </c:strCache>
            </c:strRef>
          </c:cat>
          <c:val>
            <c:numRef>
              <c:f>'Toxic Exposure Screenings'!$E$21:$E$22</c:f>
              <c:numCache>
                <c:formatCode>0.0%</c:formatCode>
                <c:ptCount val="2"/>
                <c:pt idx="0">
                  <c:v>0.10486650082376825</c:v>
                </c:pt>
                <c:pt idx="1">
                  <c:v>0.89513349917623175</c:v>
                </c:pt>
              </c:numCache>
            </c:numRef>
          </c:val>
          <c:extLst>
            <c:ext xmlns:c16="http://schemas.microsoft.com/office/drawing/2014/chart" uri="{C3380CC4-5D6E-409C-BE32-E72D297353CC}">
              <c16:uniqueId val="{00000001-66DE-4446-BEBD-DBEC88AB91F4}"/>
            </c:ext>
          </c:extLst>
        </c:ser>
        <c:dLbls>
          <c:showLegendKey val="0"/>
          <c:showVal val="0"/>
          <c:showCatName val="0"/>
          <c:showSerName val="0"/>
          <c:showPercent val="0"/>
          <c:showBubbleSize val="0"/>
        </c:dLbls>
        <c:gapWidth val="61"/>
        <c:axId val="137783296"/>
        <c:axId val="137785696"/>
      </c:barChart>
      <c:catAx>
        <c:axId val="137783296"/>
        <c:scaling>
          <c:orientation val="maxMin"/>
        </c:scaling>
        <c:delete val="0"/>
        <c:axPos val="l"/>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lumMod val="65000"/>
                    <a:lumOff val="35000"/>
                  </a:schemeClr>
                </a:solidFill>
                <a:latin typeface="+mn-lt"/>
                <a:ea typeface="+mn-ea"/>
                <a:cs typeface="+mn-cs"/>
              </a:defRPr>
            </a:pPr>
            <a:endParaRPr lang="en-US"/>
          </a:p>
        </c:txPr>
        <c:crossAx val="137785696"/>
        <c:crosses val="autoZero"/>
        <c:auto val="1"/>
        <c:lblAlgn val="ctr"/>
        <c:lblOffset val="100"/>
        <c:noMultiLvlLbl val="0"/>
      </c:catAx>
      <c:valAx>
        <c:axId val="137785696"/>
        <c:scaling>
          <c:orientation val="minMax"/>
          <c:min val="0"/>
        </c:scaling>
        <c:delete val="0"/>
        <c:axPos val="t"/>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7783296"/>
        <c:crosses val="autoZero"/>
        <c:crossBetween val="between"/>
      </c:valAx>
      <c:spPr>
        <a:solidFill>
          <a:schemeClr val="bg1"/>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'Toxic Exposure Screenings'!$K$27</c:f>
          <c:strCache>
            <c:ptCount val="1"/>
            <c:pt idx="0">
              <c:v>Toxic Exposure Screenings by Age</c:v>
            </c:pt>
          </c:strCache>
        </c:strRef>
      </c:tx>
      <c:overlay val="0"/>
      <c:spPr>
        <a:noFill/>
        <a:ln>
          <a:noFill/>
        </a:ln>
        <a:effectLst/>
      </c:spPr>
      <c:txPr>
        <a:bodyPr rot="0" spcFirstLastPara="1" vertOverflow="ellipsis" vert="horz" wrap="square" anchor="ctr" anchorCtr="1"/>
        <a:lstStyle/>
        <a:p>
          <a:pPr>
            <a:defRPr sz="1050" b="1"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bar"/>
        <c:grouping val="clustered"/>
        <c:varyColors val="0"/>
        <c:ser>
          <c:idx val="0"/>
          <c:order val="0"/>
          <c:tx>
            <c:strRef>
              <c:f>'Toxic Exposure Screenings'!$D$28</c:f>
              <c:strCache>
                <c:ptCount val="1"/>
                <c:pt idx="0">
                  <c:v>Percent Toxic Exposure Screenings with Known Age</c:v>
                </c:pt>
              </c:strCache>
            </c:strRef>
          </c:tx>
          <c:spPr>
            <a:solidFill>
              <a:schemeClr val="accent1"/>
            </a:solidFill>
            <a:ln>
              <a:noFill/>
            </a:ln>
            <a:effectLst/>
          </c:spPr>
          <c:invertIfNegative val="0"/>
          <c:cat>
            <c:strRef>
              <c:f>'Toxic Exposure Screenings'!$A$29:$A$35</c:f>
              <c:strCache>
                <c:ptCount val="7"/>
                <c:pt idx="0">
                  <c:v>&lt;25</c:v>
                </c:pt>
                <c:pt idx="1">
                  <c:v>25-34</c:v>
                </c:pt>
                <c:pt idx="2">
                  <c:v>35-44</c:v>
                </c:pt>
                <c:pt idx="3">
                  <c:v>45-54</c:v>
                </c:pt>
                <c:pt idx="4">
                  <c:v>55-64</c:v>
                </c:pt>
                <c:pt idx="5">
                  <c:v>65-84</c:v>
                </c:pt>
                <c:pt idx="6">
                  <c:v>85+</c:v>
                </c:pt>
              </c:strCache>
            </c:strRef>
          </c:cat>
          <c:val>
            <c:numRef>
              <c:f>'Toxic Exposure Screenings'!$D$29:$D$35</c:f>
              <c:numCache>
                <c:formatCode>0.0%</c:formatCode>
                <c:ptCount val="7"/>
                <c:pt idx="0">
                  <c:v>6.0265801559059159E-3</c:v>
                </c:pt>
                <c:pt idx="1">
                  <c:v>6.3035234867016857E-2</c:v>
                </c:pt>
                <c:pt idx="2">
                  <c:v>0.10842438131495645</c:v>
                </c:pt>
                <c:pt idx="3">
                  <c:v>0.1183118336428141</c:v>
                </c:pt>
                <c:pt idx="4">
                  <c:v>0.17285941436787383</c:v>
                </c:pt>
                <c:pt idx="5">
                  <c:v>0.46902102527966383</c:v>
                </c:pt>
                <c:pt idx="6">
                  <c:v>6.2321530371769046E-2</c:v>
                </c:pt>
              </c:numCache>
            </c:numRef>
          </c:val>
          <c:extLst>
            <c:ext xmlns:c16="http://schemas.microsoft.com/office/drawing/2014/chart" uri="{C3380CC4-5D6E-409C-BE32-E72D297353CC}">
              <c16:uniqueId val="{00000000-1092-4661-A832-5BED35F76659}"/>
            </c:ext>
          </c:extLst>
        </c:ser>
        <c:ser>
          <c:idx val="1"/>
          <c:order val="1"/>
          <c:tx>
            <c:strRef>
              <c:f>'Toxic Exposure Screenings'!$E$28</c:f>
              <c:strCache>
                <c:ptCount val="1"/>
                <c:pt idx="0">
                  <c:v>Percent Baseline with Known Age</c:v>
                </c:pt>
              </c:strCache>
            </c:strRef>
          </c:tx>
          <c:spPr>
            <a:solidFill>
              <a:schemeClr val="accent2"/>
            </a:solidFill>
            <a:ln>
              <a:noFill/>
            </a:ln>
            <a:effectLst/>
          </c:spPr>
          <c:invertIfNegative val="0"/>
          <c:cat>
            <c:strRef>
              <c:f>'Toxic Exposure Screenings'!$A$29:$A$35</c:f>
              <c:strCache>
                <c:ptCount val="7"/>
                <c:pt idx="0">
                  <c:v>&lt;25</c:v>
                </c:pt>
                <c:pt idx="1">
                  <c:v>25-34</c:v>
                </c:pt>
                <c:pt idx="2">
                  <c:v>35-44</c:v>
                </c:pt>
                <c:pt idx="3">
                  <c:v>45-54</c:v>
                </c:pt>
                <c:pt idx="4">
                  <c:v>55-64</c:v>
                </c:pt>
                <c:pt idx="5">
                  <c:v>65-84</c:v>
                </c:pt>
                <c:pt idx="6">
                  <c:v>85+</c:v>
                </c:pt>
              </c:strCache>
            </c:strRef>
          </c:cat>
          <c:val>
            <c:numRef>
              <c:f>'Toxic Exposure Screenings'!$E$29:$E$35</c:f>
              <c:numCache>
                <c:formatCode>0.0%</c:formatCode>
                <c:ptCount val="7"/>
                <c:pt idx="0">
                  <c:v>6.4914779596915223E-3</c:v>
                </c:pt>
                <c:pt idx="1">
                  <c:v>8.3046476867084162E-2</c:v>
                </c:pt>
                <c:pt idx="2">
                  <c:v>0.14351097580234157</c:v>
                </c:pt>
                <c:pt idx="3">
                  <c:v>0.13080025081844548</c:v>
                </c:pt>
                <c:pt idx="4">
                  <c:v>0.16383834449369264</c:v>
                </c:pt>
                <c:pt idx="5">
                  <c:v>0.40666786364307733</c:v>
                </c:pt>
                <c:pt idx="6">
                  <c:v>6.5644610415667284E-2</c:v>
                </c:pt>
              </c:numCache>
            </c:numRef>
          </c:val>
          <c:extLst>
            <c:ext xmlns:c16="http://schemas.microsoft.com/office/drawing/2014/chart" uri="{C3380CC4-5D6E-409C-BE32-E72D297353CC}">
              <c16:uniqueId val="{00000001-1092-4661-A832-5BED35F76659}"/>
            </c:ext>
          </c:extLst>
        </c:ser>
        <c:dLbls>
          <c:showLegendKey val="0"/>
          <c:showVal val="0"/>
          <c:showCatName val="0"/>
          <c:showSerName val="0"/>
          <c:showPercent val="0"/>
          <c:showBubbleSize val="0"/>
        </c:dLbls>
        <c:gapWidth val="61"/>
        <c:axId val="137783296"/>
        <c:axId val="137785696"/>
      </c:barChart>
      <c:catAx>
        <c:axId val="137783296"/>
        <c:scaling>
          <c:orientation val="maxMin"/>
        </c:scaling>
        <c:delete val="0"/>
        <c:axPos val="l"/>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lumMod val="65000"/>
                    <a:lumOff val="35000"/>
                  </a:schemeClr>
                </a:solidFill>
                <a:latin typeface="+mn-lt"/>
                <a:ea typeface="+mn-ea"/>
                <a:cs typeface="+mn-cs"/>
              </a:defRPr>
            </a:pPr>
            <a:endParaRPr lang="en-US"/>
          </a:p>
        </c:txPr>
        <c:crossAx val="137785696"/>
        <c:crosses val="autoZero"/>
        <c:auto val="1"/>
        <c:lblAlgn val="ctr"/>
        <c:lblOffset val="100"/>
        <c:noMultiLvlLbl val="0"/>
      </c:catAx>
      <c:valAx>
        <c:axId val="137785696"/>
        <c:scaling>
          <c:orientation val="minMax"/>
          <c:min val="0"/>
        </c:scaling>
        <c:delete val="0"/>
        <c:axPos val="t"/>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7783296"/>
        <c:crosses val="autoZero"/>
        <c:crossBetween val="between"/>
      </c:valAx>
      <c:spPr>
        <a:solidFill>
          <a:schemeClr val="bg1"/>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0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'New Planning Enrollees'!$K$4</c:f>
          <c:strCache>
            <c:ptCount val="1"/>
            <c:pt idx="0">
              <c:v>New Planning Population Enrollees by Race/Ethnicity</c:v>
            </c:pt>
          </c:strCache>
        </c:strRef>
      </c:tx>
      <c:overlay val="0"/>
      <c:spPr>
        <a:noFill/>
        <a:ln>
          <a:noFill/>
        </a:ln>
        <a:effectLst/>
      </c:spPr>
      <c:txPr>
        <a:bodyPr rot="0" spcFirstLastPara="1" vertOverflow="ellipsis" vert="horz" wrap="square" anchor="ctr" anchorCtr="1"/>
        <a:lstStyle/>
        <a:p>
          <a:pPr>
            <a:defRPr sz="1000" b="1"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bar"/>
        <c:grouping val="clustered"/>
        <c:varyColors val="0"/>
        <c:ser>
          <c:idx val="0"/>
          <c:order val="0"/>
          <c:tx>
            <c:strRef>
              <c:f>'New Planning Enrollees'!$D$6</c:f>
              <c:strCache>
                <c:ptCount val="1"/>
                <c:pt idx="0">
                  <c:v>Percent New Enrollees with Known Race</c:v>
                </c:pt>
              </c:strCache>
            </c:strRef>
          </c:tx>
          <c:spPr>
            <a:solidFill>
              <a:schemeClr val="accent1"/>
            </a:solidFill>
            <a:ln>
              <a:noFill/>
            </a:ln>
            <a:effectLst/>
          </c:spPr>
          <c:invertIfNegative val="0"/>
          <c:cat>
            <c:strRef>
              <c:f>'New Planning Enrollees'!$A$7:$A$13</c:f>
              <c:strCache>
                <c:ptCount val="7"/>
                <c:pt idx="0">
                  <c:v>American Indian or Alaska Native, non-Hispanic</c:v>
                </c:pt>
                <c:pt idx="1">
                  <c:v>Asian, non-Hispanic</c:v>
                </c:pt>
                <c:pt idx="2">
                  <c:v>Black or African American, non-Hispanic</c:v>
                </c:pt>
                <c:pt idx="3">
                  <c:v>Hispanic or Latino, of any race</c:v>
                </c:pt>
                <c:pt idx="4">
                  <c:v>Native Hawaiian or Other Pacific Islander, non-Hispanic</c:v>
                </c:pt>
                <c:pt idx="5">
                  <c:v>White, non-Hispanic</c:v>
                </c:pt>
                <c:pt idx="6">
                  <c:v>"Two or More Races", non-Hispanic </c:v>
                </c:pt>
              </c:strCache>
            </c:strRef>
          </c:cat>
          <c:val>
            <c:numRef>
              <c:f>'New Planning Enrollees'!$D$7:$D$13</c:f>
              <c:numCache>
                <c:formatCode>0.0%</c:formatCode>
                <c:ptCount val="7"/>
                <c:pt idx="0">
                  <c:v>6.9753034486450928E-3</c:v>
                </c:pt>
                <c:pt idx="1">
                  <c:v>2.7442312251906353E-2</c:v>
                </c:pt>
                <c:pt idx="2">
                  <c:v>0.14976251845166619</c:v>
                </c:pt>
                <c:pt idx="3">
                  <c:v>0.1318959517235577</c:v>
                </c:pt>
                <c:pt idx="4">
                  <c:v>1.1051878819399298E-2</c:v>
                </c:pt>
                <c:pt idx="5">
                  <c:v>0.65280274117188153</c:v>
                </c:pt>
                <c:pt idx="6">
                  <c:v>2.0069294132943775E-2</c:v>
                </c:pt>
              </c:numCache>
            </c:numRef>
          </c:val>
          <c:extLst>
            <c:ext xmlns:c16="http://schemas.microsoft.com/office/drawing/2014/chart" uri="{C3380CC4-5D6E-409C-BE32-E72D297353CC}">
              <c16:uniqueId val="{00000000-11BC-413A-9630-9C6678F066AC}"/>
            </c:ext>
          </c:extLst>
        </c:ser>
        <c:ser>
          <c:idx val="1"/>
          <c:order val="1"/>
          <c:tx>
            <c:strRef>
              <c:f>'New Planning Enrollees'!$E$6</c:f>
              <c:strCache>
                <c:ptCount val="1"/>
                <c:pt idx="0">
                  <c:v>Percent Baseline with Known Race</c:v>
                </c:pt>
              </c:strCache>
            </c:strRef>
          </c:tx>
          <c:spPr>
            <a:solidFill>
              <a:schemeClr val="accent2"/>
            </a:solidFill>
            <a:ln>
              <a:noFill/>
            </a:ln>
            <a:effectLst/>
          </c:spPr>
          <c:invertIfNegative val="0"/>
          <c:cat>
            <c:strRef>
              <c:f>'New Planning Enrollees'!$A$7:$A$13</c:f>
              <c:strCache>
                <c:ptCount val="7"/>
                <c:pt idx="0">
                  <c:v>American Indian or Alaska Native, non-Hispanic</c:v>
                </c:pt>
                <c:pt idx="1">
                  <c:v>Asian, non-Hispanic</c:v>
                </c:pt>
                <c:pt idx="2">
                  <c:v>Black or African American, non-Hispanic</c:v>
                </c:pt>
                <c:pt idx="3">
                  <c:v>Hispanic or Latino, of any race</c:v>
                </c:pt>
                <c:pt idx="4">
                  <c:v>Native Hawaiian or Other Pacific Islander, non-Hispanic</c:v>
                </c:pt>
                <c:pt idx="5">
                  <c:v>White, non-Hispanic</c:v>
                </c:pt>
                <c:pt idx="6">
                  <c:v>"Two or More Races", non-Hispanic </c:v>
                </c:pt>
              </c:strCache>
            </c:strRef>
          </c:cat>
          <c:val>
            <c:numRef>
              <c:f>'New Planning Enrollees'!$E$7:$E$13</c:f>
              <c:numCache>
                <c:formatCode>0.0%</c:formatCode>
                <c:ptCount val="7"/>
                <c:pt idx="0">
                  <c:v>1.0312770786294652E-2</c:v>
                </c:pt>
                <c:pt idx="1">
                  <c:v>1.7093361994871114E-2</c:v>
                </c:pt>
                <c:pt idx="2">
                  <c:v>0.11156995055416662</c:v>
                </c:pt>
                <c:pt idx="3">
                  <c:v>8.488640213253075E-2</c:v>
                </c:pt>
                <c:pt idx="4">
                  <c:v>1.4867100061258772E-2</c:v>
                </c:pt>
                <c:pt idx="5">
                  <c:v>0.75845789380993867</c:v>
                </c:pt>
                <c:pt idx="6">
                  <c:v>2.8125206609394297E-3</c:v>
                </c:pt>
              </c:numCache>
            </c:numRef>
          </c:val>
          <c:extLst>
            <c:ext xmlns:c16="http://schemas.microsoft.com/office/drawing/2014/chart" uri="{C3380CC4-5D6E-409C-BE32-E72D297353CC}">
              <c16:uniqueId val="{00000001-11BC-413A-9630-9C6678F066AC}"/>
            </c:ext>
          </c:extLst>
        </c:ser>
        <c:dLbls>
          <c:showLegendKey val="0"/>
          <c:showVal val="0"/>
          <c:showCatName val="0"/>
          <c:showSerName val="0"/>
          <c:showPercent val="0"/>
          <c:showBubbleSize val="0"/>
        </c:dLbls>
        <c:gapWidth val="61"/>
        <c:axId val="137783296"/>
        <c:axId val="137785696"/>
      </c:barChart>
      <c:catAx>
        <c:axId val="137783296"/>
        <c:scaling>
          <c:orientation val="maxMin"/>
        </c:scaling>
        <c:delete val="0"/>
        <c:axPos val="l"/>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lumMod val="65000"/>
                    <a:lumOff val="35000"/>
                  </a:schemeClr>
                </a:solidFill>
                <a:latin typeface="+mn-lt"/>
                <a:ea typeface="+mn-ea"/>
                <a:cs typeface="+mn-cs"/>
              </a:defRPr>
            </a:pPr>
            <a:endParaRPr lang="en-US"/>
          </a:p>
        </c:txPr>
        <c:crossAx val="137785696"/>
        <c:crosses val="autoZero"/>
        <c:auto val="1"/>
        <c:lblAlgn val="ctr"/>
        <c:lblOffset val="100"/>
        <c:noMultiLvlLbl val="0"/>
      </c:catAx>
      <c:valAx>
        <c:axId val="137785696"/>
        <c:scaling>
          <c:orientation val="minMax"/>
        </c:scaling>
        <c:delete val="0"/>
        <c:axPos val="t"/>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7783296"/>
        <c:crosses val="autoZero"/>
        <c:crossBetween val="between"/>
      </c:valAx>
      <c:spPr>
        <a:solidFill>
          <a:schemeClr val="bg1"/>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'New Planning Enrollees'!$K$19</c:f>
          <c:strCache>
            <c:ptCount val="1"/>
            <c:pt idx="0">
              <c:v>New Planning Population Enrollees by Gender</c:v>
            </c:pt>
          </c:strCache>
        </c:strRef>
      </c:tx>
      <c:overlay val="0"/>
      <c:spPr>
        <a:noFill/>
        <a:ln>
          <a:noFill/>
        </a:ln>
        <a:effectLst/>
      </c:spPr>
      <c:txPr>
        <a:bodyPr rot="0" spcFirstLastPara="1" vertOverflow="ellipsis" vert="horz" wrap="square" anchor="ctr" anchorCtr="1"/>
        <a:lstStyle/>
        <a:p>
          <a:pPr>
            <a:defRPr sz="1000" b="1"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bar"/>
        <c:grouping val="clustered"/>
        <c:varyColors val="0"/>
        <c:ser>
          <c:idx val="0"/>
          <c:order val="0"/>
          <c:tx>
            <c:strRef>
              <c:f>'New Planning Enrollees'!$D$20</c:f>
              <c:strCache>
                <c:ptCount val="1"/>
                <c:pt idx="0">
                  <c:v>Percent New Enrollees with Known Gender</c:v>
                </c:pt>
              </c:strCache>
            </c:strRef>
          </c:tx>
          <c:spPr>
            <a:solidFill>
              <a:schemeClr val="accent1"/>
            </a:solidFill>
            <a:ln>
              <a:noFill/>
            </a:ln>
            <a:effectLst/>
          </c:spPr>
          <c:invertIfNegative val="0"/>
          <c:cat>
            <c:strRef>
              <c:f>'New Planning Enrollees'!$A$21:$A$22</c:f>
              <c:strCache>
                <c:ptCount val="2"/>
                <c:pt idx="0">
                  <c:v>Female</c:v>
                </c:pt>
                <c:pt idx="1">
                  <c:v>Male</c:v>
                </c:pt>
              </c:strCache>
            </c:strRef>
          </c:cat>
          <c:val>
            <c:numRef>
              <c:f>'New Planning Enrollees'!$D$21:$D$22</c:f>
              <c:numCache>
                <c:formatCode>0.0%</c:formatCode>
                <c:ptCount val="2"/>
                <c:pt idx="0">
                  <c:v>0.12291162227602906</c:v>
                </c:pt>
                <c:pt idx="1">
                  <c:v>0.87708837772397097</c:v>
                </c:pt>
              </c:numCache>
            </c:numRef>
          </c:val>
          <c:extLst>
            <c:ext xmlns:c16="http://schemas.microsoft.com/office/drawing/2014/chart" uri="{C3380CC4-5D6E-409C-BE32-E72D297353CC}">
              <c16:uniqueId val="{00000000-AA9E-4303-AAA6-E6344D9A68BC}"/>
            </c:ext>
          </c:extLst>
        </c:ser>
        <c:ser>
          <c:idx val="1"/>
          <c:order val="1"/>
          <c:tx>
            <c:strRef>
              <c:f>'New Planning Enrollees'!$E$20</c:f>
              <c:strCache>
                <c:ptCount val="1"/>
                <c:pt idx="0">
                  <c:v>Percent Baseline with Known Gender</c:v>
                </c:pt>
              </c:strCache>
            </c:strRef>
          </c:tx>
          <c:spPr>
            <a:solidFill>
              <a:schemeClr val="accent2"/>
            </a:solidFill>
            <a:ln>
              <a:noFill/>
            </a:ln>
            <a:effectLst/>
          </c:spPr>
          <c:invertIfNegative val="0"/>
          <c:cat>
            <c:strRef>
              <c:f>'New Planning Enrollees'!$A$21:$A$22</c:f>
              <c:strCache>
                <c:ptCount val="2"/>
                <c:pt idx="0">
                  <c:v>Female</c:v>
                </c:pt>
                <c:pt idx="1">
                  <c:v>Male</c:v>
                </c:pt>
              </c:strCache>
            </c:strRef>
          </c:cat>
          <c:val>
            <c:numRef>
              <c:f>'New Planning Enrollees'!$E$21:$E$22</c:f>
              <c:numCache>
                <c:formatCode>0.0%</c:formatCode>
                <c:ptCount val="2"/>
                <c:pt idx="0">
                  <c:v>0.10415457358679148</c:v>
                </c:pt>
                <c:pt idx="1">
                  <c:v>0.89584542641320852</c:v>
                </c:pt>
              </c:numCache>
            </c:numRef>
          </c:val>
          <c:extLst>
            <c:ext xmlns:c16="http://schemas.microsoft.com/office/drawing/2014/chart" uri="{C3380CC4-5D6E-409C-BE32-E72D297353CC}">
              <c16:uniqueId val="{00000001-AA9E-4303-AAA6-E6344D9A68BC}"/>
            </c:ext>
          </c:extLst>
        </c:ser>
        <c:dLbls>
          <c:showLegendKey val="0"/>
          <c:showVal val="0"/>
          <c:showCatName val="0"/>
          <c:showSerName val="0"/>
          <c:showPercent val="0"/>
          <c:showBubbleSize val="0"/>
        </c:dLbls>
        <c:gapWidth val="61"/>
        <c:axId val="137783296"/>
        <c:axId val="137785696"/>
      </c:barChart>
      <c:catAx>
        <c:axId val="137783296"/>
        <c:scaling>
          <c:orientation val="maxMin"/>
        </c:scaling>
        <c:delete val="0"/>
        <c:axPos val="l"/>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lumMod val="65000"/>
                    <a:lumOff val="35000"/>
                  </a:schemeClr>
                </a:solidFill>
                <a:latin typeface="+mn-lt"/>
                <a:ea typeface="+mn-ea"/>
                <a:cs typeface="+mn-cs"/>
              </a:defRPr>
            </a:pPr>
            <a:endParaRPr lang="en-US"/>
          </a:p>
        </c:txPr>
        <c:crossAx val="137785696"/>
        <c:crosses val="autoZero"/>
        <c:auto val="1"/>
        <c:lblAlgn val="ctr"/>
        <c:lblOffset val="100"/>
        <c:noMultiLvlLbl val="0"/>
      </c:catAx>
      <c:valAx>
        <c:axId val="137785696"/>
        <c:scaling>
          <c:orientation val="minMax"/>
          <c:min val="0"/>
        </c:scaling>
        <c:delete val="0"/>
        <c:axPos val="t"/>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7783296"/>
        <c:crosses val="autoZero"/>
        <c:crossBetween val="between"/>
      </c:valAx>
      <c:spPr>
        <a:solidFill>
          <a:schemeClr val="bg1"/>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'New Planning Enrollees'!$K$27</c:f>
          <c:strCache>
            <c:ptCount val="1"/>
            <c:pt idx="0">
              <c:v>New Planning Population by Age</c:v>
            </c:pt>
          </c:strCache>
        </c:strRef>
      </c:tx>
      <c:overlay val="0"/>
      <c:spPr>
        <a:noFill/>
        <a:ln>
          <a:noFill/>
        </a:ln>
        <a:effectLst/>
      </c:spPr>
      <c:txPr>
        <a:bodyPr rot="0" spcFirstLastPara="1" vertOverflow="ellipsis" vert="horz" wrap="square" anchor="ctr" anchorCtr="1"/>
        <a:lstStyle/>
        <a:p>
          <a:pPr>
            <a:defRPr sz="1050" b="1"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bar"/>
        <c:grouping val="clustered"/>
        <c:varyColors val="0"/>
        <c:ser>
          <c:idx val="0"/>
          <c:order val="0"/>
          <c:tx>
            <c:strRef>
              <c:f>'New Planning Enrollees'!$D$28</c:f>
              <c:strCache>
                <c:ptCount val="1"/>
                <c:pt idx="0">
                  <c:v>Percent New Enrollees with Known Age</c:v>
                </c:pt>
              </c:strCache>
            </c:strRef>
          </c:tx>
          <c:spPr>
            <a:solidFill>
              <a:schemeClr val="accent1"/>
            </a:solidFill>
            <a:ln>
              <a:noFill/>
            </a:ln>
            <a:effectLst/>
          </c:spPr>
          <c:invertIfNegative val="0"/>
          <c:cat>
            <c:strRef>
              <c:f>'New Planning Enrollees'!$A$29:$A$35</c:f>
              <c:strCache>
                <c:ptCount val="7"/>
                <c:pt idx="0">
                  <c:v>&lt;25</c:v>
                </c:pt>
                <c:pt idx="1">
                  <c:v>25-34</c:v>
                </c:pt>
                <c:pt idx="2">
                  <c:v>35-44</c:v>
                </c:pt>
                <c:pt idx="3">
                  <c:v>45-54</c:v>
                </c:pt>
                <c:pt idx="4">
                  <c:v>55-64</c:v>
                </c:pt>
                <c:pt idx="5">
                  <c:v>65-84</c:v>
                </c:pt>
                <c:pt idx="6">
                  <c:v>85+</c:v>
                </c:pt>
              </c:strCache>
            </c:strRef>
          </c:cat>
          <c:val>
            <c:numRef>
              <c:f>'New Planning Enrollees'!$D$29:$D$35</c:f>
              <c:numCache>
                <c:formatCode>0.0%</c:formatCode>
                <c:ptCount val="7"/>
                <c:pt idx="0">
                  <c:v>4.8140441148651208E-2</c:v>
                </c:pt>
                <c:pt idx="1">
                  <c:v>0.25651696871098334</c:v>
                </c:pt>
                <c:pt idx="2">
                  <c:v>0.2660814952139533</c:v>
                </c:pt>
                <c:pt idx="3">
                  <c:v>0.1791835344860202</c:v>
                </c:pt>
                <c:pt idx="4">
                  <c:v>9.4850743445196922E-2</c:v>
                </c:pt>
                <c:pt idx="5">
                  <c:v>0.14881767621353714</c:v>
                </c:pt>
                <c:pt idx="6">
                  <c:v>6.4091407816579014E-3</c:v>
                </c:pt>
              </c:numCache>
            </c:numRef>
          </c:val>
          <c:extLst>
            <c:ext xmlns:c16="http://schemas.microsoft.com/office/drawing/2014/chart" uri="{C3380CC4-5D6E-409C-BE32-E72D297353CC}">
              <c16:uniqueId val="{00000000-18F9-4168-BE83-9C176767339D}"/>
            </c:ext>
          </c:extLst>
        </c:ser>
        <c:ser>
          <c:idx val="1"/>
          <c:order val="1"/>
          <c:tx>
            <c:strRef>
              <c:f>'New Planning Enrollees'!$E$28</c:f>
              <c:strCache>
                <c:ptCount val="1"/>
                <c:pt idx="0">
                  <c:v>Percent Baseline with Known Age</c:v>
                </c:pt>
              </c:strCache>
            </c:strRef>
          </c:tx>
          <c:spPr>
            <a:solidFill>
              <a:schemeClr val="accent2"/>
            </a:solidFill>
            <a:ln>
              <a:noFill/>
            </a:ln>
            <a:effectLst/>
          </c:spPr>
          <c:invertIfNegative val="0"/>
          <c:cat>
            <c:strRef>
              <c:f>'New Planning Enrollees'!$A$29:$A$35</c:f>
              <c:strCache>
                <c:ptCount val="7"/>
                <c:pt idx="0">
                  <c:v>&lt;25</c:v>
                </c:pt>
                <c:pt idx="1">
                  <c:v>25-34</c:v>
                </c:pt>
                <c:pt idx="2">
                  <c:v>35-44</c:v>
                </c:pt>
                <c:pt idx="3">
                  <c:v>45-54</c:v>
                </c:pt>
                <c:pt idx="4">
                  <c:v>55-64</c:v>
                </c:pt>
                <c:pt idx="5">
                  <c:v>65-84</c:v>
                </c:pt>
                <c:pt idx="6">
                  <c:v>85+</c:v>
                </c:pt>
              </c:strCache>
            </c:strRef>
          </c:cat>
          <c:val>
            <c:numRef>
              <c:f>'New Planning Enrollees'!$E$29:$E$35</c:f>
              <c:numCache>
                <c:formatCode>0.0%</c:formatCode>
                <c:ptCount val="7"/>
                <c:pt idx="0">
                  <c:v>4.0190367854611442E-2</c:v>
                </c:pt>
                <c:pt idx="1">
                  <c:v>0.21719564210306222</c:v>
                </c:pt>
                <c:pt idx="2">
                  <c:v>0.2584400923449065</c:v>
                </c:pt>
                <c:pt idx="3">
                  <c:v>0.17391256391393548</c:v>
                </c:pt>
                <c:pt idx="4">
                  <c:v>9.615168811438185E-2</c:v>
                </c:pt>
                <c:pt idx="5">
                  <c:v>0.2040109801047944</c:v>
                </c:pt>
                <c:pt idx="6">
                  <c:v>1.0098665564308138E-2</c:v>
                </c:pt>
              </c:numCache>
            </c:numRef>
          </c:val>
          <c:extLst>
            <c:ext xmlns:c16="http://schemas.microsoft.com/office/drawing/2014/chart" uri="{C3380CC4-5D6E-409C-BE32-E72D297353CC}">
              <c16:uniqueId val="{00000001-18F9-4168-BE83-9C176767339D}"/>
            </c:ext>
          </c:extLst>
        </c:ser>
        <c:dLbls>
          <c:showLegendKey val="0"/>
          <c:showVal val="0"/>
          <c:showCatName val="0"/>
          <c:showSerName val="0"/>
          <c:showPercent val="0"/>
          <c:showBubbleSize val="0"/>
        </c:dLbls>
        <c:gapWidth val="61"/>
        <c:axId val="137783296"/>
        <c:axId val="137785696"/>
      </c:barChart>
      <c:catAx>
        <c:axId val="137783296"/>
        <c:scaling>
          <c:orientation val="maxMin"/>
        </c:scaling>
        <c:delete val="0"/>
        <c:axPos val="l"/>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lumMod val="65000"/>
                    <a:lumOff val="35000"/>
                  </a:schemeClr>
                </a:solidFill>
                <a:latin typeface="+mn-lt"/>
                <a:ea typeface="+mn-ea"/>
                <a:cs typeface="+mn-cs"/>
              </a:defRPr>
            </a:pPr>
            <a:endParaRPr lang="en-US"/>
          </a:p>
        </c:txPr>
        <c:crossAx val="137785696"/>
        <c:crosses val="autoZero"/>
        <c:auto val="1"/>
        <c:lblAlgn val="ctr"/>
        <c:lblOffset val="100"/>
        <c:noMultiLvlLbl val="0"/>
      </c:catAx>
      <c:valAx>
        <c:axId val="137785696"/>
        <c:scaling>
          <c:orientation val="minMax"/>
          <c:min val="0"/>
        </c:scaling>
        <c:delete val="0"/>
        <c:axPos val="t"/>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7783296"/>
        <c:crosses val="autoZero"/>
        <c:crossBetween val="between"/>
      </c:valAx>
      <c:spPr>
        <a:solidFill>
          <a:schemeClr val="bg1"/>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0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6666</xdr:colOff>
      <xdr:row>4</xdr:row>
      <xdr:rowOff>0</xdr:rowOff>
    </xdr:from>
    <xdr:to>
      <xdr:col>15</xdr:col>
      <xdr:colOff>854391</xdr:colOff>
      <xdr:row>16</xdr:row>
      <xdr:rowOff>142875</xdr:rowOff>
    </xdr:to>
    <xdr:graphicFrame macro="">
      <xdr:nvGraphicFramePr>
        <xdr:cNvPr id="7" name="Chart 6">
          <a:extLst>
            <a:ext uri="{FF2B5EF4-FFF2-40B4-BE49-F238E27FC236}">
              <a16:creationId xmlns:a16="http://schemas.microsoft.com/office/drawing/2014/main" id="{9FF04951-FC5D-83FE-E64C-B8CBA86696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380046</xdr:colOff>
      <xdr:row>18</xdr:row>
      <xdr:rowOff>169545</xdr:rowOff>
    </xdr:from>
    <xdr:to>
      <xdr:col>15</xdr:col>
      <xdr:colOff>199071</xdr:colOff>
      <xdr:row>25</xdr:row>
      <xdr:rowOff>5716</xdr:rowOff>
    </xdr:to>
    <xdr:graphicFrame macro="">
      <xdr:nvGraphicFramePr>
        <xdr:cNvPr id="10" name="Chart 9">
          <a:extLst>
            <a:ext uri="{FF2B5EF4-FFF2-40B4-BE49-F238E27FC236}">
              <a16:creationId xmlns:a16="http://schemas.microsoft.com/office/drawing/2014/main" id="{DF9ABFCC-EC42-43E8-BC6D-D31610C03C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6666</xdr:colOff>
      <xdr:row>27</xdr:row>
      <xdr:rowOff>9525</xdr:rowOff>
    </xdr:from>
    <xdr:to>
      <xdr:col>15</xdr:col>
      <xdr:colOff>854391</xdr:colOff>
      <xdr:row>37</xdr:row>
      <xdr:rowOff>173354</xdr:rowOff>
    </xdr:to>
    <xdr:graphicFrame macro="">
      <xdr:nvGraphicFramePr>
        <xdr:cNvPr id="11" name="Chart 10">
          <a:extLst>
            <a:ext uri="{FF2B5EF4-FFF2-40B4-BE49-F238E27FC236}">
              <a16:creationId xmlns:a16="http://schemas.microsoft.com/office/drawing/2014/main" id="{0E6E458B-C18D-442B-A553-CD3A15E779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17</xdr:col>
      <xdr:colOff>0</xdr:colOff>
      <xdr:row>0</xdr:row>
      <xdr:rowOff>0</xdr:rowOff>
    </xdr:from>
    <xdr:to>
      <xdr:col>19</xdr:col>
      <xdr:colOff>600075</xdr:colOff>
      <xdr:row>2</xdr:row>
      <xdr:rowOff>102870</xdr:rowOff>
    </xdr:to>
    <xdr:pic>
      <xdr:nvPicPr>
        <xdr:cNvPr id="3" name="Picture 2" descr="hypothesis testing - How is the denominator in one sample Z test of  proportion derived? - Cross Validated">
          <a:extLst>
            <a:ext uri="{FF2B5EF4-FFF2-40B4-BE49-F238E27FC236}">
              <a16:creationId xmlns:a16="http://schemas.microsoft.com/office/drawing/2014/main" id="{7259D644-6261-4E21-B683-878AE1A04E1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564225" y="0"/>
          <a:ext cx="1847850"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6666</xdr:colOff>
      <xdr:row>4</xdr:row>
      <xdr:rowOff>0</xdr:rowOff>
    </xdr:from>
    <xdr:to>
      <xdr:col>15</xdr:col>
      <xdr:colOff>854391</xdr:colOff>
      <xdr:row>16</xdr:row>
      <xdr:rowOff>142875</xdr:rowOff>
    </xdr:to>
    <xdr:graphicFrame macro="">
      <xdr:nvGraphicFramePr>
        <xdr:cNvPr id="2" name="Chart 1">
          <a:extLst>
            <a:ext uri="{FF2B5EF4-FFF2-40B4-BE49-F238E27FC236}">
              <a16:creationId xmlns:a16="http://schemas.microsoft.com/office/drawing/2014/main" id="{35FD2E46-0E2D-4B86-B899-4A88AFBCA8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6666</xdr:colOff>
      <xdr:row>19</xdr:row>
      <xdr:rowOff>9525</xdr:rowOff>
    </xdr:from>
    <xdr:to>
      <xdr:col>15</xdr:col>
      <xdr:colOff>854391</xdr:colOff>
      <xdr:row>25</xdr:row>
      <xdr:rowOff>114300</xdr:rowOff>
    </xdr:to>
    <xdr:graphicFrame macro="">
      <xdr:nvGraphicFramePr>
        <xdr:cNvPr id="3" name="Chart 2">
          <a:extLst>
            <a:ext uri="{FF2B5EF4-FFF2-40B4-BE49-F238E27FC236}">
              <a16:creationId xmlns:a16="http://schemas.microsoft.com/office/drawing/2014/main" id="{8A958965-EAB4-4F36-B91F-BEA4D0C820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6666</xdr:colOff>
      <xdr:row>27</xdr:row>
      <xdr:rowOff>1905</xdr:rowOff>
    </xdr:from>
    <xdr:to>
      <xdr:col>15</xdr:col>
      <xdr:colOff>854391</xdr:colOff>
      <xdr:row>37</xdr:row>
      <xdr:rowOff>165734</xdr:rowOff>
    </xdr:to>
    <xdr:graphicFrame macro="">
      <xdr:nvGraphicFramePr>
        <xdr:cNvPr id="4" name="Chart 3">
          <a:extLst>
            <a:ext uri="{FF2B5EF4-FFF2-40B4-BE49-F238E27FC236}">
              <a16:creationId xmlns:a16="http://schemas.microsoft.com/office/drawing/2014/main" id="{BA52E3D8-FCAF-4FE2-B3EC-1C4FD97EE7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17</xdr:col>
      <xdr:colOff>0</xdr:colOff>
      <xdr:row>0</xdr:row>
      <xdr:rowOff>0</xdr:rowOff>
    </xdr:from>
    <xdr:to>
      <xdr:col>20</xdr:col>
      <xdr:colOff>47625</xdr:colOff>
      <xdr:row>2</xdr:row>
      <xdr:rowOff>95250</xdr:rowOff>
    </xdr:to>
    <xdr:pic>
      <xdr:nvPicPr>
        <xdr:cNvPr id="5" name="Picture 4" descr="hypothesis testing - How is the denominator in one sample Z test of  proportion derived? - Cross Validated">
          <a:extLst>
            <a:ext uri="{FF2B5EF4-FFF2-40B4-BE49-F238E27FC236}">
              <a16:creationId xmlns:a16="http://schemas.microsoft.com/office/drawing/2014/main" id="{EB71B141-1334-49E6-B30F-03D331D9EC7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469100" y="0"/>
          <a:ext cx="1847850"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6666</xdr:colOff>
      <xdr:row>4</xdr:row>
      <xdr:rowOff>7620</xdr:rowOff>
    </xdr:from>
    <xdr:to>
      <xdr:col>15</xdr:col>
      <xdr:colOff>854391</xdr:colOff>
      <xdr:row>16</xdr:row>
      <xdr:rowOff>150495</xdr:rowOff>
    </xdr:to>
    <xdr:graphicFrame macro="">
      <xdr:nvGraphicFramePr>
        <xdr:cNvPr id="2" name="Chart 1">
          <a:extLst>
            <a:ext uri="{FF2B5EF4-FFF2-40B4-BE49-F238E27FC236}">
              <a16:creationId xmlns:a16="http://schemas.microsoft.com/office/drawing/2014/main" id="{40B9F5E4-1248-4489-A92C-CC59C79D8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6666</xdr:colOff>
      <xdr:row>19</xdr:row>
      <xdr:rowOff>9525</xdr:rowOff>
    </xdr:from>
    <xdr:to>
      <xdr:col>15</xdr:col>
      <xdr:colOff>854391</xdr:colOff>
      <xdr:row>25</xdr:row>
      <xdr:rowOff>114300</xdr:rowOff>
    </xdr:to>
    <xdr:graphicFrame macro="">
      <xdr:nvGraphicFramePr>
        <xdr:cNvPr id="3" name="Chart 2">
          <a:extLst>
            <a:ext uri="{FF2B5EF4-FFF2-40B4-BE49-F238E27FC236}">
              <a16:creationId xmlns:a16="http://schemas.microsoft.com/office/drawing/2014/main" id="{1EFA7E22-DA0E-4214-AA80-740AB55585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380046</xdr:colOff>
      <xdr:row>27</xdr:row>
      <xdr:rowOff>1905</xdr:rowOff>
    </xdr:from>
    <xdr:to>
      <xdr:col>15</xdr:col>
      <xdr:colOff>846771</xdr:colOff>
      <xdr:row>37</xdr:row>
      <xdr:rowOff>165734</xdr:rowOff>
    </xdr:to>
    <xdr:graphicFrame macro="">
      <xdr:nvGraphicFramePr>
        <xdr:cNvPr id="4" name="Chart 3">
          <a:extLst>
            <a:ext uri="{FF2B5EF4-FFF2-40B4-BE49-F238E27FC236}">
              <a16:creationId xmlns:a16="http://schemas.microsoft.com/office/drawing/2014/main" id="{DD48E8F2-19B1-4B1F-9157-3E6F2533C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17</xdr:col>
      <xdr:colOff>533400</xdr:colOff>
      <xdr:row>0</xdr:row>
      <xdr:rowOff>15240</xdr:rowOff>
    </xdr:from>
    <xdr:to>
      <xdr:col>20</xdr:col>
      <xdr:colOff>390525</xdr:colOff>
      <xdr:row>2</xdr:row>
      <xdr:rowOff>110490</xdr:rowOff>
    </xdr:to>
    <xdr:pic>
      <xdr:nvPicPr>
        <xdr:cNvPr id="5" name="Picture 4" descr="hypothesis testing - How is the denominator in one sample Z test of  proportion derived? - Cross Validated">
          <a:extLst>
            <a:ext uri="{FF2B5EF4-FFF2-40B4-BE49-F238E27FC236}">
              <a16:creationId xmlns:a16="http://schemas.microsoft.com/office/drawing/2014/main" id="{AACA99AF-3BF7-42FA-B81C-C455BD4621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455140" y="15240"/>
          <a:ext cx="1876425" cy="9105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264224D-5078-4B90-BDCB-4626950FFB0E}" name="Table5" displayName="Table5" ref="A8:B15" totalsRowShown="0" headerRowDxfId="12" headerRowBorderDxfId="11">
  <autoFilter ref="A8:B15" xr:uid="{C264224D-5078-4B90-BDCB-4626950FFB0E}"/>
  <sortState xmlns:xlrd2="http://schemas.microsoft.com/office/spreadsheetml/2017/richdata2" ref="A9:B15">
    <sortCondition ref="A8:A15"/>
  </sortState>
  <tableColumns count="2">
    <tableColumn id="1" xr3:uid="{3838E5F4-E833-46D1-BC99-72C2FF1C1EEE}" name="Metric/Baseline" dataDxfId="10"/>
    <tableColumn id="2" xr3:uid="{9D537F4E-CFA7-4A22-B107-F4C4E4303863}" name="Definition" dataDxfId="9"/>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454B9-A9AA-4C5F-B0ED-DBC0E7628F12}">
  <dimension ref="A1:B15"/>
  <sheetViews>
    <sheetView tabSelected="1" view="pageLayout" zoomScaleNormal="100" workbookViewId="0">
      <selection activeCell="A11" sqref="A11"/>
    </sheetView>
  </sheetViews>
  <sheetFormatPr defaultRowHeight="14.4" x14ac:dyDescent="0.3"/>
  <cols>
    <col min="1" max="1" width="66.5546875" customWidth="1"/>
    <col min="2" max="2" width="134.5546875" customWidth="1"/>
  </cols>
  <sheetData>
    <row r="1" spans="1:2" ht="50.4" customHeight="1" x14ac:dyDescent="0.3">
      <c r="A1" s="67" t="s">
        <v>73</v>
      </c>
      <c r="B1" s="67"/>
    </row>
    <row r="2" spans="1:2" x14ac:dyDescent="0.3">
      <c r="A2" s="26" t="s">
        <v>0</v>
      </c>
      <c r="B2" s="26"/>
    </row>
    <row r="3" spans="1:2" ht="29.4" customHeight="1" x14ac:dyDescent="0.3">
      <c r="A3" s="65" t="s">
        <v>74</v>
      </c>
      <c r="B3" s="65"/>
    </row>
    <row r="4" spans="1:2" x14ac:dyDescent="0.3">
      <c r="A4" s="65" t="s">
        <v>71</v>
      </c>
      <c r="B4" s="66"/>
    </row>
    <row r="5" spans="1:2" x14ac:dyDescent="0.3">
      <c r="A5" s="64" t="s">
        <v>89</v>
      </c>
      <c r="B5" s="64"/>
    </row>
    <row r="6" spans="1:2" x14ac:dyDescent="0.3">
      <c r="A6" s="64" t="s">
        <v>75</v>
      </c>
      <c r="B6" s="64"/>
    </row>
    <row r="8" spans="1:2" x14ac:dyDescent="0.3">
      <c r="A8" s="26" t="s">
        <v>80</v>
      </c>
      <c r="B8" s="26" t="s">
        <v>1</v>
      </c>
    </row>
    <row r="9" spans="1:2" x14ac:dyDescent="0.3">
      <c r="A9" s="54" t="s">
        <v>81</v>
      </c>
      <c r="B9" s="2" t="s">
        <v>70</v>
      </c>
    </row>
    <row r="10" spans="1:2" ht="43.2" x14ac:dyDescent="0.3">
      <c r="A10" s="54" t="s">
        <v>82</v>
      </c>
      <c r="B10" s="2" t="s">
        <v>77</v>
      </c>
    </row>
    <row r="11" spans="1:2" ht="57.6" x14ac:dyDescent="0.3">
      <c r="A11" s="54" t="s">
        <v>83</v>
      </c>
      <c r="B11" s="2" t="s">
        <v>72</v>
      </c>
    </row>
    <row r="12" spans="1:2" x14ac:dyDescent="0.3">
      <c r="A12" s="54" t="s">
        <v>84</v>
      </c>
      <c r="B12" s="2" t="s">
        <v>79</v>
      </c>
    </row>
    <row r="13" spans="1:2" ht="43.2" x14ac:dyDescent="0.3">
      <c r="A13" s="55" t="s">
        <v>85</v>
      </c>
      <c r="B13" s="55" t="s">
        <v>3</v>
      </c>
    </row>
    <row r="14" spans="1:2" x14ac:dyDescent="0.3">
      <c r="A14" s="54" t="s">
        <v>86</v>
      </c>
      <c r="B14" s="2" t="s">
        <v>78</v>
      </c>
    </row>
    <row r="15" spans="1:2" x14ac:dyDescent="0.3">
      <c r="A15" s="54" t="s">
        <v>87</v>
      </c>
      <c r="B15" s="2" t="s">
        <v>88</v>
      </c>
    </row>
  </sheetData>
  <sheetProtection algorithmName="SHA-512" hashValue="eEyONIe2abfiONHryd1hG9cGOSFlSPlRpEg8LKmxIsnHGWAqMR4LXI3s5XJzI3bbyQUQMIPYIcIGJI3y86rDWw==" saltValue="OPgRB5DWSU1eFKZ4v/gQ4g==" spinCount="100000" sheet="1" objects="1" scenarios="1" selectLockedCells="1" selectUnlockedCells="1"/>
  <mergeCells count="5">
    <mergeCell ref="A6:B6"/>
    <mergeCell ref="A4:B4"/>
    <mergeCell ref="A5:B5"/>
    <mergeCell ref="A3:B3"/>
    <mergeCell ref="A1:B1"/>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0477F-89E2-4884-AC5D-5B707E0DD8FB}">
  <dimension ref="A1:Y38"/>
  <sheetViews>
    <sheetView showGridLines="0" topLeftCell="H1" workbookViewId="0">
      <pane ySplit="3" topLeftCell="A22" activePane="bottomLeft" state="frozen"/>
      <selection pane="bottomLeft" activeCell="C7" sqref="C7"/>
    </sheetView>
  </sheetViews>
  <sheetFormatPr defaultRowHeight="14.4" x14ac:dyDescent="0.3"/>
  <cols>
    <col min="1" max="1" width="48" customWidth="1"/>
    <col min="2" max="2" width="20.44140625" customWidth="1"/>
    <col min="3" max="3" width="13.44140625" customWidth="1"/>
    <col min="4" max="5" width="18.109375" customWidth="1"/>
    <col min="6" max="6" width="12.5546875" bestFit="1" customWidth="1"/>
    <col min="7" max="7" width="16" customWidth="1"/>
    <col min="8" max="8" width="16.109375" customWidth="1"/>
    <col min="9" max="9" width="15.5546875" customWidth="1"/>
    <col min="10" max="10" width="5.5546875" customWidth="1"/>
    <col min="11" max="14" width="12.5546875" customWidth="1"/>
    <col min="15" max="15" width="17.5546875" customWidth="1"/>
    <col min="16" max="16" width="12.5546875" customWidth="1"/>
    <col min="17" max="17" width="5.5546875" customWidth="1"/>
    <col min="18" max="18" width="8.44140625" customWidth="1"/>
    <col min="19" max="19" width="10.109375" customWidth="1"/>
    <col min="20" max="20" width="10.5546875" bestFit="1" customWidth="1"/>
    <col min="23" max="23" width="9.109375" style="32"/>
    <col min="24" max="24" width="5.88671875" bestFit="1" customWidth="1"/>
  </cols>
  <sheetData>
    <row r="1" spans="1:24" ht="46.2" x14ac:dyDescent="0.85">
      <c r="A1" s="1" t="s">
        <v>76</v>
      </c>
      <c r="U1" s="8" t="s">
        <v>5</v>
      </c>
      <c r="V1" s="9">
        <f>ABS(_xlfn.NORM.S.INV((X1)/2))</f>
        <v>1.9599639845400538</v>
      </c>
      <c r="W1" s="31" t="s">
        <v>6</v>
      </c>
      <c r="X1" s="10">
        <v>0.05</v>
      </c>
    </row>
    <row r="2" spans="1:24" ht="18" x14ac:dyDescent="0.35">
      <c r="A2" s="4" t="s">
        <v>7</v>
      </c>
      <c r="B2" s="4"/>
    </row>
    <row r="3" spans="1:24" ht="18" x14ac:dyDescent="0.35">
      <c r="A3" s="4" t="s">
        <v>8</v>
      </c>
      <c r="B3" s="4"/>
    </row>
    <row r="4" spans="1:24" x14ac:dyDescent="0.3">
      <c r="K4" s="7" t="str">
        <f>"PACT Act Claims Submitted By Race / Ethnicity Compared to Baseline"</f>
        <v>PACT Act Claims Submitted By Race / Ethnicity Compared to Baseline</v>
      </c>
      <c r="S4" t="s">
        <v>9</v>
      </c>
      <c r="W4" s="11" t="s">
        <v>10</v>
      </c>
      <c r="X4">
        <v>0.05</v>
      </c>
    </row>
    <row r="6" spans="1:24" s="2" customFormat="1" ht="68.099999999999994" customHeight="1" x14ac:dyDescent="0.35">
      <c r="A6" s="45" t="s">
        <v>11</v>
      </c>
      <c r="B6" s="46" t="s">
        <v>12</v>
      </c>
      <c r="C6" s="46" t="s">
        <v>13</v>
      </c>
      <c r="D6" s="46" t="s">
        <v>14</v>
      </c>
      <c r="E6" s="46" t="s">
        <v>15</v>
      </c>
      <c r="F6" s="27" t="s">
        <v>16</v>
      </c>
      <c r="G6" s="27" t="s">
        <v>17</v>
      </c>
      <c r="H6" s="27" t="s">
        <v>18</v>
      </c>
      <c r="I6" s="28" t="s">
        <v>19</v>
      </c>
      <c r="R6" s="29" t="s">
        <v>20</v>
      </c>
      <c r="S6" s="29" t="s">
        <v>21</v>
      </c>
      <c r="T6" s="29" t="s">
        <v>22</v>
      </c>
      <c r="U6" s="29" t="s">
        <v>23</v>
      </c>
      <c r="V6" s="33" t="s">
        <v>24</v>
      </c>
      <c r="W6" s="29" t="s">
        <v>25</v>
      </c>
    </row>
    <row r="7" spans="1:24" x14ac:dyDescent="0.3">
      <c r="A7" s="48" t="s">
        <v>26</v>
      </c>
      <c r="B7" s="49">
        <v>8514</v>
      </c>
      <c r="C7" s="49">
        <v>46741</v>
      </c>
      <c r="D7" s="50">
        <f>(B7/SUM($B$7:$B$13))</f>
        <v>9.5914994575631921E-3</v>
      </c>
      <c r="E7" s="50">
        <f>(C7/SUM($C$7:$C$13))</f>
        <v>8.5933529979754387E-3</v>
      </c>
      <c r="F7" s="18">
        <f>'PACT Act Related Claims Submit'!$D7-'PACT Act Related Claims Submit'!$E7</f>
        <v>9.9814645958775337E-4</v>
      </c>
      <c r="G7" s="18" t="b">
        <f>W7</f>
        <v>1</v>
      </c>
      <c r="H7" s="18">
        <f>0.1*E7</f>
        <v>8.5933529979754391E-4</v>
      </c>
      <c r="I7" s="38" t="b">
        <f>IF(ABS(F7)&gt;=H7, TRUE,FALSE)</f>
        <v>1</v>
      </c>
      <c r="R7" s="21">
        <f>(B7/C7)-($B$14/$C$14)</f>
        <v>1.8955856410092287E-2</v>
      </c>
      <c r="S7" s="22">
        <f t="shared" ref="S7:S13" si="0">C7</f>
        <v>46741</v>
      </c>
      <c r="T7" s="23">
        <f t="shared" ref="T7:T13" si="1">B$14/C$14</f>
        <v>0.16319685748135204</v>
      </c>
      <c r="U7" s="24">
        <f t="shared" ref="U7:U12" si="2">R7/SQRT((T7*(1-T7))/S7)</f>
        <v>11.089829342922712</v>
      </c>
      <c r="V7" s="30">
        <f>_xlfn.NORM.DIST(-ABS(U7),0,1,TRUE)</f>
        <v>7.0277824955476089E-29</v>
      </c>
      <c r="W7" s="23" t="b">
        <f t="shared" ref="W7:W12" si="3">V7&lt;Pvalue</f>
        <v>1</v>
      </c>
    </row>
    <row r="8" spans="1:24" x14ac:dyDescent="0.3">
      <c r="A8" s="48" t="s">
        <v>27</v>
      </c>
      <c r="B8" s="49">
        <v>17624</v>
      </c>
      <c r="C8" s="49">
        <v>102485</v>
      </c>
      <c r="D8" s="50">
        <f t="shared" ref="D8:D13" si="4">(B8/SUM($B$7:$B$13))</f>
        <v>1.9854426408279738E-2</v>
      </c>
      <c r="E8" s="50">
        <f t="shared" ref="E8:E13" si="5">(C8/SUM($C$7:$C$13))</f>
        <v>1.8841911426745531E-2</v>
      </c>
      <c r="F8" s="18">
        <f>'PACT Act Related Claims Submit'!$D8-'PACT Act Related Claims Submit'!$E8</f>
        <v>1.0125149815342072E-3</v>
      </c>
      <c r="G8" s="18" t="b">
        <f t="shared" ref="G8:G13" si="6">W8</f>
        <v>1</v>
      </c>
      <c r="H8" s="18">
        <f>0.1*E8</f>
        <v>1.8841911426745531E-3</v>
      </c>
      <c r="I8" s="38" t="b">
        <f t="shared" ref="I8:I13" si="7">IF(ABS(F8)&gt;=H8, TRUE,FALSE)</f>
        <v>0</v>
      </c>
      <c r="R8" s="21">
        <f t="shared" ref="R8:R13" si="8">(B8/C8)-($B$14/$C$14)</f>
        <v>8.7697717814669007E-3</v>
      </c>
      <c r="S8" s="22">
        <f t="shared" si="0"/>
        <v>102485</v>
      </c>
      <c r="T8" s="23">
        <f t="shared" si="1"/>
        <v>0.16319685748135204</v>
      </c>
      <c r="U8" s="24">
        <f t="shared" si="2"/>
        <v>7.5971534295827503</v>
      </c>
      <c r="V8" s="30">
        <f t="shared" ref="V8:V12" si="9">_xlfn.NORM.DIST(-ABS(U8),0,1,TRUE)</f>
        <v>1.5135777790226145E-14</v>
      </c>
      <c r="W8" s="23" t="b">
        <f t="shared" si="3"/>
        <v>1</v>
      </c>
    </row>
    <row r="9" spans="1:24" x14ac:dyDescent="0.3">
      <c r="A9" s="48" t="s">
        <v>28</v>
      </c>
      <c r="B9" s="49">
        <v>191961</v>
      </c>
      <c r="C9" s="49">
        <v>787350</v>
      </c>
      <c r="D9" s="50">
        <f t="shared" si="4"/>
        <v>0.21625485404901196</v>
      </c>
      <c r="E9" s="50">
        <f t="shared" si="5"/>
        <v>0.14475463689172166</v>
      </c>
      <c r="F9" s="18">
        <f>'PACT Act Related Claims Submit'!$D9-'PACT Act Related Claims Submit'!$E9</f>
        <v>7.1500217157290297E-2</v>
      </c>
      <c r="G9" s="18" t="b">
        <f t="shared" si="6"/>
        <v>1</v>
      </c>
      <c r="H9" s="18">
        <f>0.1*E9</f>
        <v>1.4475463689172166E-2</v>
      </c>
      <c r="I9" s="38" t="b">
        <f t="shared" si="7"/>
        <v>1</v>
      </c>
      <c r="R9" s="21">
        <f t="shared" si="8"/>
        <v>8.0609581840423522E-2</v>
      </c>
      <c r="S9" s="22">
        <f t="shared" si="0"/>
        <v>787350</v>
      </c>
      <c r="T9" s="23">
        <f t="shared" si="1"/>
        <v>0.16319685748135204</v>
      </c>
      <c r="U9" s="24">
        <f t="shared" si="2"/>
        <v>193.55439494767356</v>
      </c>
      <c r="V9" s="30">
        <f t="shared" si="9"/>
        <v>0</v>
      </c>
      <c r="W9" s="23" t="b">
        <f t="shared" si="3"/>
        <v>1</v>
      </c>
    </row>
    <row r="10" spans="1:24" x14ac:dyDescent="0.3">
      <c r="A10" s="48" t="s">
        <v>29</v>
      </c>
      <c r="B10" s="49">
        <v>84256</v>
      </c>
      <c r="C10" s="49">
        <v>483512</v>
      </c>
      <c r="D10" s="50">
        <f t="shared" si="4"/>
        <v>9.4919118897867541E-2</v>
      </c>
      <c r="E10" s="50">
        <f t="shared" si="5"/>
        <v>8.8893889620613606E-2</v>
      </c>
      <c r="F10" s="18">
        <f>'PACT Act Related Claims Submit'!$D10-'PACT Act Related Claims Submit'!$E10</f>
        <v>6.0252292772539351E-3</v>
      </c>
      <c r="G10" s="18" t="b">
        <f t="shared" si="6"/>
        <v>1</v>
      </c>
      <c r="H10" s="18">
        <f t="shared" ref="H10:H13" si="10">0.1*E10</f>
        <v>8.8893889620613609E-3</v>
      </c>
      <c r="I10" s="38" t="b">
        <f t="shared" si="7"/>
        <v>0</v>
      </c>
      <c r="R10" s="21">
        <f t="shared" si="8"/>
        <v>1.1061485641466001E-2</v>
      </c>
      <c r="S10" s="22">
        <f t="shared" si="0"/>
        <v>483512</v>
      </c>
      <c r="T10" s="23">
        <f t="shared" si="1"/>
        <v>0.16319685748135204</v>
      </c>
      <c r="U10" s="24">
        <f t="shared" ref="U10" si="11">R10/SQRT((T10*(1-T10))/S10)</f>
        <v>20.813712021061907</v>
      </c>
      <c r="V10" s="30">
        <f t="shared" si="9"/>
        <v>1.6258311646127054E-96</v>
      </c>
      <c r="W10" s="23" t="b">
        <f t="shared" si="3"/>
        <v>1</v>
      </c>
    </row>
    <row r="11" spans="1:24" x14ac:dyDescent="0.3">
      <c r="A11" s="48" t="s">
        <v>30</v>
      </c>
      <c r="B11" s="49">
        <v>10694</v>
      </c>
      <c r="C11" s="49">
        <v>63750</v>
      </c>
      <c r="D11" s="50">
        <f t="shared" si="4"/>
        <v>1.2047391966077139E-2</v>
      </c>
      <c r="E11" s="50">
        <f t="shared" si="5"/>
        <v>1.1720464979802192E-2</v>
      </c>
      <c r="F11" s="18">
        <f>'PACT Act Related Claims Submit'!$D11-'PACT Act Related Claims Submit'!$E11</f>
        <v>3.2692698627494708E-4</v>
      </c>
      <c r="G11" s="18" t="b">
        <f t="shared" si="6"/>
        <v>1</v>
      </c>
      <c r="H11" s="18">
        <f t="shared" si="10"/>
        <v>1.1720464979802193E-3</v>
      </c>
      <c r="I11" s="38" t="b">
        <f t="shared" si="7"/>
        <v>0</v>
      </c>
      <c r="R11" s="21">
        <f t="shared" si="8"/>
        <v>4.5521621264910939E-3</v>
      </c>
      <c r="S11" s="22">
        <f t="shared" si="0"/>
        <v>63750</v>
      </c>
      <c r="T11" s="23">
        <f t="shared" si="1"/>
        <v>0.16319685748135204</v>
      </c>
      <c r="U11" s="24">
        <f t="shared" si="2"/>
        <v>3.1102139764169259</v>
      </c>
      <c r="V11" s="30">
        <f t="shared" si="9"/>
        <v>9.3475929384655002E-4</v>
      </c>
      <c r="W11" s="23" t="b">
        <f t="shared" si="3"/>
        <v>1</v>
      </c>
    </row>
    <row r="12" spans="1:24" x14ac:dyDescent="0.3">
      <c r="A12" s="48" t="s">
        <v>31</v>
      </c>
      <c r="B12" s="49">
        <v>572356</v>
      </c>
      <c r="C12" s="49">
        <v>3914600</v>
      </c>
      <c r="D12" s="50">
        <f t="shared" si="4"/>
        <v>0.64479119844174748</v>
      </c>
      <c r="E12" s="50">
        <f t="shared" si="5"/>
        <v>0.71970089741072407</v>
      </c>
      <c r="F12" s="18">
        <f>'PACT Act Related Claims Submit'!$D12-'PACT Act Related Claims Submit'!$E12</f>
        <v>-7.490969896897659E-2</v>
      </c>
      <c r="G12" s="18" t="b">
        <f t="shared" si="6"/>
        <v>1</v>
      </c>
      <c r="H12" s="18">
        <f t="shared" si="10"/>
        <v>7.1970089741072413E-2</v>
      </c>
      <c r="I12" s="38" t="b">
        <f t="shared" si="7"/>
        <v>1</v>
      </c>
      <c r="R12" s="21">
        <f t="shared" si="8"/>
        <v>-1.6986261251852208E-2</v>
      </c>
      <c r="S12" s="22">
        <f t="shared" si="0"/>
        <v>3914600</v>
      </c>
      <c r="T12" s="23">
        <f t="shared" si="1"/>
        <v>0.16319685748135204</v>
      </c>
      <c r="U12" s="24">
        <f t="shared" si="2"/>
        <v>-90.943978264645295</v>
      </c>
      <c r="V12" s="30">
        <f t="shared" si="9"/>
        <v>0</v>
      </c>
      <c r="W12" s="23" t="b">
        <f t="shared" si="3"/>
        <v>1</v>
      </c>
    </row>
    <row r="13" spans="1:24" x14ac:dyDescent="0.3">
      <c r="A13" s="48" t="s">
        <v>32</v>
      </c>
      <c r="B13" s="49">
        <v>2256</v>
      </c>
      <c r="C13" s="49">
        <v>40766</v>
      </c>
      <c r="D13" s="50">
        <f t="shared" si="4"/>
        <v>2.5415107794529669E-3</v>
      </c>
      <c r="E13" s="50">
        <f t="shared" si="5"/>
        <v>7.4948466724175083E-3</v>
      </c>
      <c r="F13" s="18">
        <f>'PACT Act Related Claims Submit'!$D13-'PACT Act Related Claims Submit'!$E13</f>
        <v>-4.9533358929645414E-3</v>
      </c>
      <c r="G13" s="18" t="b">
        <f t="shared" si="6"/>
        <v>1</v>
      </c>
      <c r="H13" s="18">
        <f t="shared" si="10"/>
        <v>7.4948466724175091E-4</v>
      </c>
      <c r="I13" s="38" t="b">
        <f t="shared" si="7"/>
        <v>1</v>
      </c>
      <c r="R13" s="21">
        <f t="shared" si="8"/>
        <v>-0.10785662297220226</v>
      </c>
      <c r="S13" s="22">
        <f t="shared" si="0"/>
        <v>40766</v>
      </c>
      <c r="T13" s="23">
        <f t="shared" si="1"/>
        <v>0.16319685748135204</v>
      </c>
      <c r="U13" s="24">
        <f t="shared" ref="U13" si="12">R13/SQRT((T13*(1-T13))/S13)</f>
        <v>-58.928898214903342</v>
      </c>
      <c r="V13" s="30">
        <f t="shared" ref="V13" si="13">_xlfn.NORM.DIST(-ABS(U13),0,1,TRUE)</f>
        <v>0</v>
      </c>
      <c r="W13" s="23" t="b">
        <f t="shared" ref="W13" si="14">V13&lt;Pvalue</f>
        <v>1</v>
      </c>
    </row>
    <row r="14" spans="1:24" x14ac:dyDescent="0.3">
      <c r="A14" s="20" t="s">
        <v>33</v>
      </c>
      <c r="B14" s="13">
        <f>SUM(B7:B13)</f>
        <v>887661</v>
      </c>
      <c r="C14" s="13">
        <f>SUM(C7:C13)</f>
        <v>5439204</v>
      </c>
      <c r="D14" s="12"/>
      <c r="E14" s="12"/>
      <c r="F14" s="14"/>
      <c r="G14" s="14"/>
      <c r="H14" s="14"/>
      <c r="I14" s="44"/>
      <c r="R14" s="3"/>
      <c r="S14" s="5"/>
      <c r="U14" s="6"/>
      <c r="V14" s="34"/>
      <c r="W14"/>
    </row>
    <row r="15" spans="1:24" x14ac:dyDescent="0.3">
      <c r="A15" s="58" t="s">
        <v>34</v>
      </c>
      <c r="B15" s="59">
        <v>21988</v>
      </c>
      <c r="C15" s="59">
        <v>507629</v>
      </c>
      <c r="D15" s="57">
        <f>'PACT Act Related Claims Submit'!$B15/B16</f>
        <v>2.4171960833244473E-2</v>
      </c>
      <c r="E15" s="57">
        <f>'PACT Act Related Claims Submit'!$B15/C16</f>
        <v>3.6974302120136885E-3</v>
      </c>
      <c r="F15" s="35">
        <f>'PACT Act Related Claims Submit'!$D15-'PACT Act Related Claims Submit'!$E15</f>
        <v>2.0474530621230783E-2</v>
      </c>
      <c r="G15" s="35"/>
      <c r="H15" s="35"/>
      <c r="I15" s="60"/>
      <c r="V15" s="32"/>
      <c r="W15"/>
    </row>
    <row r="16" spans="1:24" x14ac:dyDescent="0.3">
      <c r="A16" s="20" t="s">
        <v>35</v>
      </c>
      <c r="B16" s="13">
        <f>SUM(B14:B15)</f>
        <v>909649</v>
      </c>
      <c r="C16" s="13">
        <f>SUM(C14:C15)</f>
        <v>5946833</v>
      </c>
      <c r="D16" s="12"/>
      <c r="E16" s="12"/>
      <c r="F16" s="14"/>
      <c r="G16" s="14"/>
      <c r="H16" s="14"/>
      <c r="I16" s="44"/>
      <c r="V16" s="32"/>
      <c r="W16"/>
    </row>
    <row r="18" spans="1:25" x14ac:dyDescent="0.3">
      <c r="V18" s="6"/>
    </row>
    <row r="19" spans="1:25" x14ac:dyDescent="0.3">
      <c r="K19" s="7" t="str">
        <f>"PACT Act Claims Submitted" &amp; " by " &amp;A20</f>
        <v>PACT Act Claims Submitted by Gender</v>
      </c>
      <c r="V19" s="6"/>
    </row>
    <row r="20" spans="1:25" s="2" customFormat="1" ht="57.6" x14ac:dyDescent="0.35">
      <c r="A20" s="26" t="s">
        <v>36</v>
      </c>
      <c r="B20" s="27" t="s">
        <v>12</v>
      </c>
      <c r="C20" s="27" t="s">
        <v>13</v>
      </c>
      <c r="D20" s="27" t="s">
        <v>37</v>
      </c>
      <c r="E20" s="27" t="s">
        <v>38</v>
      </c>
      <c r="F20" s="27" t="s">
        <v>16</v>
      </c>
      <c r="G20" s="27" t="s">
        <v>17</v>
      </c>
      <c r="H20" s="27" t="s">
        <v>18</v>
      </c>
      <c r="I20" s="28" t="s">
        <v>19</v>
      </c>
      <c r="R20" s="29" t="s">
        <v>20</v>
      </c>
      <c r="S20" s="29" t="s">
        <v>21</v>
      </c>
      <c r="T20" s="29" t="s">
        <v>22</v>
      </c>
      <c r="U20" s="29" t="s">
        <v>23</v>
      </c>
      <c r="V20" s="33" t="s">
        <v>24</v>
      </c>
      <c r="W20" s="29" t="s">
        <v>25</v>
      </c>
    </row>
    <row r="21" spans="1:25" x14ac:dyDescent="0.3">
      <c r="A21" s="58" t="s">
        <v>39</v>
      </c>
      <c r="B21" s="59">
        <v>80617</v>
      </c>
      <c r="C21" s="59">
        <v>540078</v>
      </c>
      <c r="D21" s="56">
        <f>(B21/SUM($B$21:$B$22))</f>
        <v>8.8723780552898923E-2</v>
      </c>
      <c r="E21" s="56">
        <f>(C21/SUM($C$21:$C$22))</f>
        <v>9.2566699243153708E-2</v>
      </c>
      <c r="F21" s="18">
        <f>'PACT Act Related Claims Submit'!$D21-'PACT Act Related Claims Submit'!$E21</f>
        <v>-3.8429186902547846E-3</v>
      </c>
      <c r="G21" s="18" t="b">
        <f>W21</f>
        <v>1</v>
      </c>
      <c r="H21" s="18">
        <f t="shared" ref="H21:H22" si="15">0.1*E21</f>
        <v>9.2566699243153711E-3</v>
      </c>
      <c r="I21" s="38" t="b">
        <f t="shared" ref="I21:I22" si="16">IF(ABS(F21)&gt;=H21, TRUE,FALSE)</f>
        <v>0</v>
      </c>
      <c r="R21" s="21">
        <f>(B21/C21)-($B$23/$C$23)</f>
        <v>-6.4653390188223192E-3</v>
      </c>
      <c r="S21" s="22">
        <f>C21</f>
        <v>540078</v>
      </c>
      <c r="T21" s="23">
        <f>B$23/C$23</f>
        <v>0.15573451865583771</v>
      </c>
      <c r="U21" s="24">
        <f t="shared" ref="U21:U35" si="17">R21/SQRT((T21*(1-T21))/S21)</f>
        <v>-13.103508266579263</v>
      </c>
      <c r="V21" s="30">
        <f>_xlfn.NORM.DIST(-ABS(U21),0,1,TRUE)</f>
        <v>1.5719141158076353E-39</v>
      </c>
      <c r="W21" s="23" t="b">
        <f>V21&lt;Pvalue</f>
        <v>1</v>
      </c>
    </row>
    <row r="22" spans="1:25" x14ac:dyDescent="0.3">
      <c r="A22" s="48" t="s">
        <v>40</v>
      </c>
      <c r="B22" s="49">
        <v>828012</v>
      </c>
      <c r="C22" s="49">
        <v>5294396</v>
      </c>
      <c r="D22" s="50">
        <f>(B22/SUM($B$21:$B$22))</f>
        <v>0.91127621944710102</v>
      </c>
      <c r="E22" s="50">
        <f>(C22/SUM($C$21:$C$22))</f>
        <v>0.90743330075684625</v>
      </c>
      <c r="F22" s="18">
        <f>'PACT Act Related Claims Submit'!$D22-'PACT Act Related Claims Submit'!$E22</f>
        <v>3.8429186902547707E-3</v>
      </c>
      <c r="G22" s="18" t="b">
        <f>W22</f>
        <v>1</v>
      </c>
      <c r="H22" s="18">
        <f t="shared" si="15"/>
        <v>9.0743330075684636E-2</v>
      </c>
      <c r="I22" s="38" t="b">
        <f t="shared" si="16"/>
        <v>0</v>
      </c>
      <c r="J22" s="2"/>
      <c r="K22" s="2"/>
      <c r="L22" s="2"/>
      <c r="M22" s="2"/>
      <c r="N22" s="2"/>
      <c r="O22" s="2"/>
      <c r="P22" s="2"/>
      <c r="Q22" s="2"/>
      <c r="R22" s="21">
        <f>(B22/C22)-($B$23/$C$23)</f>
        <v>6.5952515954748048E-4</v>
      </c>
      <c r="S22" s="22">
        <f>C22</f>
        <v>5294396</v>
      </c>
      <c r="T22" s="23">
        <f>B$23/C$23</f>
        <v>0.15573451865583771</v>
      </c>
      <c r="U22" s="24">
        <f t="shared" si="17"/>
        <v>4.1851171522648771</v>
      </c>
      <c r="V22" s="30">
        <f t="shared" ref="V22" si="18">_xlfn.NORM.DIST(-ABS(U22),0,1,TRUE)</f>
        <v>1.4250953347236157E-5</v>
      </c>
      <c r="W22" s="23" t="b">
        <f>V22&lt;Pvalue</f>
        <v>1</v>
      </c>
    </row>
    <row r="23" spans="1:25" x14ac:dyDescent="0.3">
      <c r="A23" s="51" t="s">
        <v>33</v>
      </c>
      <c r="B23" s="16">
        <f>SUM(B21:B22)</f>
        <v>908629</v>
      </c>
      <c r="C23" s="16">
        <f>SUM(C21:C22)</f>
        <v>5834474</v>
      </c>
      <c r="D23" s="15"/>
      <c r="E23" s="15"/>
      <c r="F23" s="14"/>
      <c r="G23" s="14"/>
      <c r="H23" s="14"/>
      <c r="I23" s="44"/>
      <c r="R23" s="3"/>
      <c r="S23" s="5"/>
      <c r="U23" s="6"/>
      <c r="V23" s="34"/>
      <c r="W23" s="6"/>
      <c r="X23" s="6"/>
      <c r="Y23" s="6"/>
    </row>
    <row r="24" spans="1:25" x14ac:dyDescent="0.3">
      <c r="A24" s="48" t="s">
        <v>34</v>
      </c>
      <c r="B24" s="49">
        <v>1020</v>
      </c>
      <c r="C24" s="49">
        <v>112359</v>
      </c>
      <c r="D24" s="52">
        <f>'PACT Act Related Claims Submit'!$B24/B25</f>
        <v>1.1213116267923121E-3</v>
      </c>
      <c r="E24" s="52">
        <f>'PACT Act Related Claims Submit'!$C24/C25</f>
        <v>1.8893922193544025E-2</v>
      </c>
      <c r="F24" s="35">
        <f>'PACT Act Related Claims Submit'!$D24-'PACT Act Related Claims Submit'!$E24</f>
        <v>-1.7772610566751713E-2</v>
      </c>
      <c r="G24" s="35"/>
      <c r="H24" s="35"/>
      <c r="I24" s="60"/>
      <c r="U24" s="6"/>
      <c r="V24" s="32"/>
      <c r="W24"/>
    </row>
    <row r="25" spans="1:25" x14ac:dyDescent="0.3">
      <c r="A25" s="20" t="s">
        <v>35</v>
      </c>
      <c r="B25" s="13">
        <f>SUM(B23:B24)</f>
        <v>909649</v>
      </c>
      <c r="C25" s="13">
        <f>SUM(C23:C24)</f>
        <v>5946833</v>
      </c>
      <c r="D25" s="12"/>
      <c r="E25" s="12"/>
      <c r="F25" s="14"/>
      <c r="G25" s="14"/>
      <c r="H25" s="14"/>
      <c r="I25" s="44"/>
      <c r="U25" s="6"/>
      <c r="V25" s="32"/>
      <c r="W25"/>
    </row>
    <row r="26" spans="1:25" x14ac:dyDescent="0.3">
      <c r="J26" s="2"/>
      <c r="K26" s="2"/>
      <c r="L26" s="2"/>
      <c r="M26" s="2"/>
      <c r="N26" s="2"/>
      <c r="O26" s="2"/>
      <c r="P26" s="2"/>
      <c r="Q26" s="2"/>
      <c r="R26" s="2"/>
      <c r="V26" s="6"/>
    </row>
    <row r="27" spans="1:25" x14ac:dyDescent="0.3">
      <c r="K27" s="7" t="str">
        <f>"PACT Act Claims Submitted" &amp; " by " &amp;A28</f>
        <v>PACT Act Claims Submitted by Age</v>
      </c>
      <c r="V27" s="6"/>
    </row>
    <row r="28" spans="1:25" ht="57.6" x14ac:dyDescent="0.35">
      <c r="A28" s="26" t="s">
        <v>41</v>
      </c>
      <c r="B28" s="46" t="s">
        <v>12</v>
      </c>
      <c r="C28" s="27" t="s">
        <v>13</v>
      </c>
      <c r="D28" s="27" t="s">
        <v>42</v>
      </c>
      <c r="E28" s="46" t="s">
        <v>43</v>
      </c>
      <c r="F28" s="27" t="s">
        <v>16</v>
      </c>
      <c r="G28" s="27" t="s">
        <v>17</v>
      </c>
      <c r="H28" s="27" t="s">
        <v>18</v>
      </c>
      <c r="I28" s="28" t="s">
        <v>19</v>
      </c>
      <c r="J28" s="2"/>
      <c r="K28" s="2"/>
      <c r="L28" s="2"/>
      <c r="M28" s="2"/>
      <c r="N28" s="2"/>
      <c r="O28" s="2"/>
      <c r="P28" s="2"/>
      <c r="Q28" s="2"/>
      <c r="R28" s="29" t="s">
        <v>20</v>
      </c>
      <c r="S28" s="29" t="s">
        <v>21</v>
      </c>
      <c r="T28" s="29" t="s">
        <v>22</v>
      </c>
      <c r="U28" s="29" t="s">
        <v>23</v>
      </c>
      <c r="V28" s="33" t="s">
        <v>24</v>
      </c>
      <c r="W28" s="29" t="s">
        <v>25</v>
      </c>
    </row>
    <row r="29" spans="1:25" x14ac:dyDescent="0.3">
      <c r="A29" s="17" t="s">
        <v>44</v>
      </c>
      <c r="B29" s="19">
        <v>10981</v>
      </c>
      <c r="C29" s="19">
        <v>91057</v>
      </c>
      <c r="D29" s="25">
        <f>B29/SUM(B$29:B$35)</f>
        <v>1.208478830985745E-2</v>
      </c>
      <c r="E29" s="25">
        <f>C29/SUM(C$29:C$35)</f>
        <v>1.559564533861358E-2</v>
      </c>
      <c r="F29" s="18">
        <f>D29-E29</f>
        <v>-3.5108570287561303E-3</v>
      </c>
      <c r="G29" s="18" t="b">
        <f>W29</f>
        <v>1</v>
      </c>
      <c r="H29" s="18">
        <f t="shared" ref="H29:H35" si="19">0.1*E29</f>
        <v>1.5595645338613582E-3</v>
      </c>
      <c r="I29" s="38" t="b">
        <f>IF(ABS(F29)&gt;=H29, TRUE,FALSE)</f>
        <v>1</v>
      </c>
      <c r="R29" s="21">
        <f>(B29/C29)-($B$36/$C$36)</f>
        <v>-3.5035042669104316E-2</v>
      </c>
      <c r="S29" s="22">
        <f t="shared" ref="S29:S35" si="20">C29</f>
        <v>91057</v>
      </c>
      <c r="T29" s="23">
        <f>B$36/C$36</f>
        <v>0.15562983494207619</v>
      </c>
      <c r="U29" s="24">
        <f>R29/SQRT((T29*(1-T29))/S29)</f>
        <v>-29.163957148112459</v>
      </c>
      <c r="V29" s="30">
        <f t="shared" ref="V29:V35" si="21">_xlfn.NORM.DIST(-ABS(U29),0,1,TRUE)</f>
        <v>2.7792182772842755E-187</v>
      </c>
      <c r="W29" s="23" t="b">
        <f t="shared" ref="W29:W35" si="22">V29&lt;Pvalue</f>
        <v>1</v>
      </c>
    </row>
    <row r="30" spans="1:25" x14ac:dyDescent="0.3">
      <c r="A30" s="17" t="s">
        <v>45</v>
      </c>
      <c r="B30" s="19">
        <v>82988</v>
      </c>
      <c r="C30" s="19">
        <v>798465</v>
      </c>
      <c r="D30" s="25">
        <f t="shared" ref="D30:E35" si="23">B30/SUM(B$29:B$35)</f>
        <v>9.1329788931650127E-2</v>
      </c>
      <c r="E30" s="25">
        <f t="shared" si="23"/>
        <v>0.13675584474885064</v>
      </c>
      <c r="F30" s="18">
        <f t="shared" ref="F30:F35" si="24">D30-E30</f>
        <v>-4.5426055817200509E-2</v>
      </c>
      <c r="G30" s="18" t="b">
        <f t="shared" ref="G30:G35" si="25">W30</f>
        <v>1</v>
      </c>
      <c r="H30" s="18">
        <f t="shared" si="19"/>
        <v>1.3675584474885065E-2</v>
      </c>
      <c r="I30" s="38" t="b">
        <f t="shared" ref="I30:I35" si="26">IF(ABS(F30)&gt;=(H30), TRUE, FALSE)</f>
        <v>1</v>
      </c>
      <c r="J30" s="2"/>
      <c r="K30" s="2"/>
      <c r="L30" s="2"/>
      <c r="M30" s="2"/>
      <c r="N30" s="2"/>
      <c r="O30" s="2"/>
      <c r="P30" s="2"/>
      <c r="Q30" s="2"/>
      <c r="R30" s="21">
        <f t="shared" ref="R30:R35" si="27">(B30/C30)-($B$36/$C$36)</f>
        <v>-5.1695410765687747E-2</v>
      </c>
      <c r="S30" s="22">
        <f t="shared" si="20"/>
        <v>798465</v>
      </c>
      <c r="T30" s="23">
        <f t="shared" ref="T30:T35" si="28">B$36/C$36</f>
        <v>0.15562983494207619</v>
      </c>
      <c r="U30" s="24">
        <f t="shared" si="17"/>
        <v>-127.42864476839918</v>
      </c>
      <c r="V30" s="30">
        <f t="shared" si="21"/>
        <v>0</v>
      </c>
      <c r="W30" s="23" t="b">
        <f t="shared" si="22"/>
        <v>1</v>
      </c>
    </row>
    <row r="31" spans="1:25" x14ac:dyDescent="0.3">
      <c r="A31" s="17" t="s">
        <v>46</v>
      </c>
      <c r="B31" s="19">
        <v>157658</v>
      </c>
      <c r="C31" s="19">
        <v>1450256</v>
      </c>
      <c r="D31" s="25">
        <f t="shared" si="23"/>
        <v>0.17350546902426972</v>
      </c>
      <c r="E31" s="25">
        <f t="shared" si="23"/>
        <v>0.24839032942219022</v>
      </c>
      <c r="F31" s="18">
        <f t="shared" si="24"/>
        <v>-7.48848603979205E-2</v>
      </c>
      <c r="G31" s="18" t="b">
        <f t="shared" si="25"/>
        <v>1</v>
      </c>
      <c r="H31" s="18">
        <f t="shared" si="19"/>
        <v>2.4839032942219022E-2</v>
      </c>
      <c r="I31" s="38" t="b">
        <f t="shared" si="26"/>
        <v>1</v>
      </c>
      <c r="R31" s="21">
        <f t="shared" si="27"/>
        <v>-4.6919372789187314E-2</v>
      </c>
      <c r="S31" s="22">
        <f t="shared" si="20"/>
        <v>1450256</v>
      </c>
      <c r="T31" s="23">
        <f t="shared" si="28"/>
        <v>0.15562983494207619</v>
      </c>
      <c r="U31" s="24">
        <f t="shared" si="17"/>
        <v>-155.86968766204546</v>
      </c>
      <c r="V31" s="30">
        <f t="shared" si="21"/>
        <v>0</v>
      </c>
      <c r="W31" s="23" t="b">
        <f t="shared" si="22"/>
        <v>1</v>
      </c>
    </row>
    <row r="32" spans="1:25" x14ac:dyDescent="0.3">
      <c r="A32" s="17" t="s">
        <v>47</v>
      </c>
      <c r="B32" s="19">
        <v>139144</v>
      </c>
      <c r="C32" s="19">
        <v>1025263</v>
      </c>
      <c r="D32" s="25">
        <f t="shared" si="23"/>
        <v>0.15313047851623759</v>
      </c>
      <c r="E32" s="25">
        <f t="shared" si="23"/>
        <v>0.17560031767797066</v>
      </c>
      <c r="F32" s="18">
        <f t="shared" si="24"/>
        <v>-2.2469839161733063E-2</v>
      </c>
      <c r="G32" s="18" t="b">
        <f t="shared" si="25"/>
        <v>1</v>
      </c>
      <c r="H32" s="18">
        <f t="shared" si="19"/>
        <v>1.7560031767797066E-2</v>
      </c>
      <c r="I32" s="38" t="b">
        <f t="shared" si="26"/>
        <v>1</v>
      </c>
      <c r="R32" s="21">
        <f t="shared" si="27"/>
        <v>-1.9914413630666344E-2</v>
      </c>
      <c r="S32" s="22">
        <f t="shared" si="20"/>
        <v>1025263</v>
      </c>
      <c r="T32" s="23">
        <f t="shared" si="28"/>
        <v>0.15562983494207619</v>
      </c>
      <c r="U32" s="24">
        <f t="shared" si="17"/>
        <v>-55.625291196425792</v>
      </c>
      <c r="V32" s="30">
        <f t="shared" si="21"/>
        <v>0</v>
      </c>
      <c r="W32" s="23" t="b">
        <f t="shared" si="22"/>
        <v>1</v>
      </c>
    </row>
    <row r="33" spans="1:23" x14ac:dyDescent="0.3">
      <c r="A33" s="17" t="s">
        <v>48</v>
      </c>
      <c r="B33" s="19">
        <v>138912</v>
      </c>
      <c r="C33" s="19">
        <v>693706</v>
      </c>
      <c r="D33" s="25">
        <f t="shared" si="23"/>
        <v>0.15287515833702925</v>
      </c>
      <c r="E33" s="25">
        <f t="shared" si="23"/>
        <v>0.11881341077861418</v>
      </c>
      <c r="F33" s="18">
        <f t="shared" si="24"/>
        <v>3.4061747558415068E-2</v>
      </c>
      <c r="G33" s="18" t="b">
        <f t="shared" si="25"/>
        <v>1</v>
      </c>
      <c r="H33" s="18">
        <f t="shared" si="19"/>
        <v>1.1881341077861419E-2</v>
      </c>
      <c r="I33" s="38" t="b">
        <f t="shared" si="26"/>
        <v>1</v>
      </c>
      <c r="R33" s="21">
        <f t="shared" si="27"/>
        <v>4.4616378871844969E-2</v>
      </c>
      <c r="S33" s="22">
        <f t="shared" si="20"/>
        <v>693706</v>
      </c>
      <c r="T33" s="23">
        <f t="shared" si="28"/>
        <v>0.15562983494207619</v>
      </c>
      <c r="U33" s="24">
        <f t="shared" si="17"/>
        <v>102.51069468805601</v>
      </c>
      <c r="V33" s="30">
        <f t="shared" si="21"/>
        <v>0</v>
      </c>
      <c r="W33" s="23" t="b">
        <f t="shared" si="22"/>
        <v>1</v>
      </c>
    </row>
    <row r="34" spans="1:23" x14ac:dyDescent="0.3">
      <c r="A34" s="17" t="s">
        <v>49</v>
      </c>
      <c r="B34" s="19">
        <v>363879</v>
      </c>
      <c r="C34" s="19">
        <v>1710218</v>
      </c>
      <c r="D34" s="25">
        <f t="shared" si="23"/>
        <v>0.40045539435412247</v>
      </c>
      <c r="E34" s="25">
        <f t="shared" si="23"/>
        <v>0.29291491461077168</v>
      </c>
      <c r="F34" s="18">
        <f t="shared" si="24"/>
        <v>0.10754047974335079</v>
      </c>
      <c r="G34" s="18" t="b">
        <f t="shared" si="25"/>
        <v>1</v>
      </c>
      <c r="H34" s="18">
        <f t="shared" si="19"/>
        <v>2.9291491461077169E-2</v>
      </c>
      <c r="I34" s="38" t="b">
        <f t="shared" si="26"/>
        <v>1</v>
      </c>
      <c r="J34" s="2"/>
      <c r="K34" s="2"/>
      <c r="L34" s="2"/>
      <c r="M34" s="2"/>
      <c r="N34" s="2"/>
      <c r="O34" s="2"/>
      <c r="P34" s="2"/>
      <c r="Q34" s="2"/>
      <c r="R34" s="21">
        <f t="shared" si="27"/>
        <v>5.7137777140126189E-2</v>
      </c>
      <c r="S34" s="22">
        <f t="shared" si="20"/>
        <v>1710218</v>
      </c>
      <c r="T34" s="23">
        <f t="shared" si="28"/>
        <v>0.15562983494207619</v>
      </c>
      <c r="U34" s="24">
        <f t="shared" si="17"/>
        <v>206.12762963634214</v>
      </c>
      <c r="V34" s="30">
        <f t="shared" si="21"/>
        <v>0</v>
      </c>
      <c r="W34" s="23" t="b">
        <f t="shared" si="22"/>
        <v>1</v>
      </c>
    </row>
    <row r="35" spans="1:23" x14ac:dyDescent="0.3">
      <c r="A35" s="17" t="s">
        <v>50</v>
      </c>
      <c r="B35" s="19">
        <v>15101</v>
      </c>
      <c r="C35" s="19">
        <v>69652</v>
      </c>
      <c r="D35" s="25">
        <f t="shared" si="23"/>
        <v>1.661892252683338E-2</v>
      </c>
      <c r="E35" s="25">
        <f t="shared" si="23"/>
        <v>1.192953742298904E-2</v>
      </c>
      <c r="F35" s="18">
        <f t="shared" si="24"/>
        <v>4.6893851038443402E-3</v>
      </c>
      <c r="G35" s="18" t="b">
        <f t="shared" si="25"/>
        <v>1</v>
      </c>
      <c r="H35" s="18">
        <f t="shared" si="19"/>
        <v>1.1929537422989041E-3</v>
      </c>
      <c r="I35" s="38" t="b">
        <f t="shared" si="26"/>
        <v>1</v>
      </c>
      <c r="R35" s="21">
        <f t="shared" si="27"/>
        <v>6.1176574062690364E-2</v>
      </c>
      <c r="S35" s="22">
        <f t="shared" si="20"/>
        <v>69652</v>
      </c>
      <c r="T35" s="23">
        <f t="shared" si="28"/>
        <v>0.15562983494207619</v>
      </c>
      <c r="U35" s="24">
        <f t="shared" si="17"/>
        <v>44.53885827270944</v>
      </c>
      <c r="V35" s="30">
        <f t="shared" si="21"/>
        <v>0</v>
      </c>
      <c r="W35" s="23" t="b">
        <f t="shared" si="22"/>
        <v>1</v>
      </c>
    </row>
    <row r="36" spans="1:23" x14ac:dyDescent="0.3">
      <c r="A36" s="20" t="s">
        <v>33</v>
      </c>
      <c r="B36" s="13">
        <f>SUM(B29:B35)</f>
        <v>908663</v>
      </c>
      <c r="C36" s="13">
        <f>SUM(C29:C35)</f>
        <v>5838617</v>
      </c>
      <c r="D36" s="12"/>
      <c r="E36" s="12"/>
      <c r="F36" s="14"/>
      <c r="G36" s="14"/>
      <c r="H36" s="14"/>
      <c r="I36" s="44"/>
      <c r="S36" s="3"/>
      <c r="T36" s="5"/>
      <c r="V36" s="6"/>
      <c r="W36" s="34"/>
    </row>
    <row r="37" spans="1:23" x14ac:dyDescent="0.3">
      <c r="A37" s="17" t="s">
        <v>34</v>
      </c>
      <c r="B37" s="19">
        <v>986</v>
      </c>
      <c r="C37" s="19">
        <v>108216</v>
      </c>
      <c r="D37" s="36">
        <f>B37/B38</f>
        <v>1.0839345725659017E-3</v>
      </c>
      <c r="E37" s="36">
        <f>C37/C38</f>
        <v>1.8197248854978774E-2</v>
      </c>
      <c r="F37" s="36">
        <f>D37-E37</f>
        <v>-1.7113314282412872E-2</v>
      </c>
      <c r="G37" s="36"/>
      <c r="H37" s="36"/>
      <c r="I37" s="37"/>
    </row>
    <row r="38" spans="1:23" x14ac:dyDescent="0.3">
      <c r="A38" s="20" t="s">
        <v>35</v>
      </c>
      <c r="B38" s="13">
        <f>SUM(B36:B37)</f>
        <v>909649</v>
      </c>
      <c r="C38" s="13">
        <f>SUM(C36:C37)</f>
        <v>5946833</v>
      </c>
      <c r="D38" s="12"/>
      <c r="E38" s="12"/>
      <c r="F38" s="14"/>
      <c r="G38" s="14"/>
      <c r="H38" s="14"/>
      <c r="I38" s="44"/>
    </row>
  </sheetData>
  <sheetProtection algorithmName="SHA-512" hashValue="zdg9rIRSpzds9OgcdARTbzbr3Iq2oknSmE1dADree708rSAffto2Rj1AxDBZy+GTCTvdN9Zoi5Z6uSq9J38Y9w==" saltValue="g2/LkjvrsloRbOtWrNPRXg==" spinCount="100000" sheet="1" objects="1" scenarios="1" selectLockedCells="1" selectUnlockedCells="1"/>
  <conditionalFormatting sqref="V7:V13">
    <cfRule type="cellIs" dxfId="8" priority="7" operator="lessThanOrEqual">
      <formula>$X$4</formula>
    </cfRule>
  </conditionalFormatting>
  <conditionalFormatting sqref="V21:V22">
    <cfRule type="cellIs" dxfId="7" priority="2" operator="lessThanOrEqual">
      <formula>$X$4</formula>
    </cfRule>
  </conditionalFormatting>
  <conditionalFormatting sqref="V29:V35">
    <cfRule type="cellIs" dxfId="6" priority="1" operator="lessThanOrEqual">
      <formula>$X$4</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3A049-7323-4DE7-9BDA-6A6FF662624D}">
  <dimension ref="A1:Y38"/>
  <sheetViews>
    <sheetView showGridLines="0" topLeftCell="G1" workbookViewId="0">
      <pane ySplit="3" topLeftCell="A31" activePane="bottomLeft" state="frozen"/>
      <selection pane="bottomLeft" activeCell="A3" sqref="A3"/>
    </sheetView>
  </sheetViews>
  <sheetFormatPr defaultRowHeight="14.4" x14ac:dyDescent="0.3"/>
  <cols>
    <col min="1" max="1" width="50.109375" customWidth="1"/>
    <col min="2" max="2" width="10.5546875" bestFit="1" customWidth="1"/>
    <col min="3" max="3" width="11.5546875" bestFit="1" customWidth="1"/>
    <col min="4" max="5" width="18.109375" customWidth="1"/>
    <col min="6" max="6" width="12.5546875" bestFit="1" customWidth="1"/>
    <col min="7" max="9" width="12.5546875" customWidth="1"/>
    <col min="10" max="10" width="5.5546875" customWidth="1"/>
    <col min="11" max="14" width="12.5546875" customWidth="1"/>
    <col min="15" max="15" width="17.5546875" customWidth="1"/>
    <col min="16" max="16" width="12.5546875" customWidth="1"/>
    <col min="17" max="17" width="5.5546875" customWidth="1"/>
    <col min="18" max="18" width="7.5546875" customWidth="1"/>
    <col min="19" max="19" width="11.109375" customWidth="1"/>
    <col min="20" max="20" width="7.5546875" customWidth="1"/>
    <col min="21" max="21" width="10.109375" customWidth="1"/>
    <col min="22" max="22" width="7.5546875" customWidth="1"/>
    <col min="23" max="23" width="7.5546875" style="32" customWidth="1"/>
    <col min="24" max="24" width="7.5546875" customWidth="1"/>
  </cols>
  <sheetData>
    <row r="1" spans="1:24" ht="46.2" x14ac:dyDescent="0.85">
      <c r="A1" s="1" t="s">
        <v>4</v>
      </c>
      <c r="U1" s="8" t="s">
        <v>5</v>
      </c>
      <c r="V1" s="9">
        <f>ABS(_xlfn.NORM.S.INV((X1)/2))</f>
        <v>1.9599639845400538</v>
      </c>
      <c r="W1" s="31" t="s">
        <v>6</v>
      </c>
      <c r="X1" s="10">
        <v>0.05</v>
      </c>
    </row>
    <row r="2" spans="1:24" ht="18" x14ac:dyDescent="0.35">
      <c r="A2" s="4" t="s">
        <v>90</v>
      </c>
      <c r="B2" s="4"/>
    </row>
    <row r="3" spans="1:24" ht="18" x14ac:dyDescent="0.35">
      <c r="A3" s="4" t="s">
        <v>51</v>
      </c>
      <c r="B3" s="4"/>
    </row>
    <row r="4" spans="1:24" x14ac:dyDescent="0.3">
      <c r="K4" s="7" t="str">
        <f>"Toxic Exposure Screenings" &amp; " by " &amp;A6</f>
        <v>Toxic Exposure Screenings by Race/Ethnicity</v>
      </c>
      <c r="S4" t="s">
        <v>9</v>
      </c>
      <c r="W4" s="11" t="s">
        <v>10</v>
      </c>
      <c r="X4">
        <v>0.05</v>
      </c>
    </row>
    <row r="6" spans="1:24" s="2" customFormat="1" ht="72" x14ac:dyDescent="0.35">
      <c r="A6" s="45" t="s">
        <v>11</v>
      </c>
      <c r="B6" s="46" t="s">
        <v>4</v>
      </c>
      <c r="C6" s="46" t="s">
        <v>13</v>
      </c>
      <c r="D6" s="46" t="s">
        <v>52</v>
      </c>
      <c r="E6" s="46" t="s">
        <v>15</v>
      </c>
      <c r="F6" s="27" t="s">
        <v>16</v>
      </c>
      <c r="G6" s="27" t="s">
        <v>17</v>
      </c>
      <c r="H6" s="27" t="s">
        <v>18</v>
      </c>
      <c r="I6" s="28" t="s">
        <v>19</v>
      </c>
      <c r="R6" s="29" t="s">
        <v>20</v>
      </c>
      <c r="S6" s="29" t="s">
        <v>21</v>
      </c>
      <c r="T6" s="29" t="s">
        <v>22</v>
      </c>
      <c r="U6" s="29" t="s">
        <v>23</v>
      </c>
      <c r="V6" s="33" t="s">
        <v>24</v>
      </c>
      <c r="W6" s="29" t="s">
        <v>25</v>
      </c>
    </row>
    <row r="7" spans="1:24" x14ac:dyDescent="0.3">
      <c r="A7" s="48" t="s">
        <v>26</v>
      </c>
      <c r="B7" s="49">
        <v>39897</v>
      </c>
      <c r="C7" s="49">
        <v>81721</v>
      </c>
      <c r="D7" s="50">
        <f>(B7/SUM($B$7:$B$13))</f>
        <v>9.3106866716016236E-3</v>
      </c>
      <c r="E7" s="50">
        <f>(C7/SUM($C$7:$C$13))</f>
        <v>9.8111473295264973E-3</v>
      </c>
      <c r="F7" s="18">
        <f>'Toxic Exposure Screenings'!$D7-'Toxic Exposure Screenings'!$E7</f>
        <v>-5.0046065792487375E-4</v>
      </c>
      <c r="G7" s="18" t="b">
        <f>W7</f>
        <v>1</v>
      </c>
      <c r="H7" s="18">
        <f>E7*0.1</f>
        <v>9.8111473295264969E-4</v>
      </c>
      <c r="I7" s="38" t="b">
        <f>IF(ABS(F7)&gt;=H7,TRUE,FALSE)</f>
        <v>0</v>
      </c>
      <c r="R7" s="21">
        <f>(B7/C7)-($B$14/$C$14)</f>
        <v>-2.6241871174093379E-2</v>
      </c>
      <c r="S7" s="22">
        <f t="shared" ref="S7:S13" si="0">C7</f>
        <v>81721</v>
      </c>
      <c r="T7" s="23">
        <f t="shared" ref="T7:T13" si="1">B$14/C$14</f>
        <v>0.51445175602621218</v>
      </c>
      <c r="U7" s="24">
        <f t="shared" ref="U7:U12" si="2">R7/SQRT((T7*(1-T7))/S7)</f>
        <v>-15.009738099042744</v>
      </c>
      <c r="V7" s="30">
        <f>_xlfn.NORM.DIST(-ABS(U7),0,1,TRUE)</f>
        <v>3.1698765414505001E-51</v>
      </c>
      <c r="W7" s="23" t="b">
        <f t="shared" ref="W7:W12" si="3">V7&lt;Pvalue</f>
        <v>1</v>
      </c>
    </row>
    <row r="8" spans="1:24" x14ac:dyDescent="0.3">
      <c r="A8" s="48" t="s">
        <v>27</v>
      </c>
      <c r="B8" s="49">
        <v>62829</v>
      </c>
      <c r="C8" s="49">
        <v>140451</v>
      </c>
      <c r="D8" s="50">
        <f t="shared" ref="D8:D13" si="4">(B8/SUM($B$7:$B$13))</f>
        <v>1.4662283702786135E-2</v>
      </c>
      <c r="E8" s="50">
        <f t="shared" ref="E8:E13" si="5">(C8/SUM($C$7:$C$13))</f>
        <v>1.686207282802861E-2</v>
      </c>
      <c r="F8" s="18">
        <f>'Toxic Exposure Screenings'!$D8-'Toxic Exposure Screenings'!$E8</f>
        <v>-2.199789125242475E-3</v>
      </c>
      <c r="G8" s="18" t="b">
        <f t="shared" ref="G8:G13" si="6">W8</f>
        <v>1</v>
      </c>
      <c r="H8" s="18">
        <f t="shared" ref="H8:H13" si="7">E8*0.1</f>
        <v>1.6862072828028611E-3</v>
      </c>
      <c r="I8" s="38" t="b">
        <f t="shared" ref="I8:I13" si="8">IF(ABS(F8)&gt;=H8,TRUE,FALSE)</f>
        <v>1</v>
      </c>
      <c r="R8" s="21">
        <f t="shared" ref="R8:R13" si="9">(B8/C8)-($B$14/$C$14)</f>
        <v>-6.7114250419274546E-2</v>
      </c>
      <c r="S8" s="22">
        <f t="shared" si="0"/>
        <v>140451</v>
      </c>
      <c r="T8" s="23">
        <f t="shared" si="1"/>
        <v>0.51445175602621218</v>
      </c>
      <c r="U8" s="24">
        <f t="shared" si="2"/>
        <v>-50.325562870501642</v>
      </c>
      <c r="V8" s="30">
        <f t="shared" ref="V8:V12" si="10">_xlfn.NORM.DIST(-ABS(U8),0,1,TRUE)</f>
        <v>0</v>
      </c>
      <c r="W8" s="23" t="b">
        <f t="shared" si="3"/>
        <v>1</v>
      </c>
    </row>
    <row r="9" spans="1:24" x14ac:dyDescent="0.3">
      <c r="A9" s="48" t="s">
        <v>28</v>
      </c>
      <c r="B9" s="49">
        <v>827169</v>
      </c>
      <c r="C9" s="49">
        <v>1440326</v>
      </c>
      <c r="D9" s="50">
        <f t="shared" si="4"/>
        <v>0.19303484932355924</v>
      </c>
      <c r="E9" s="50">
        <f t="shared" si="5"/>
        <v>0.1729206763077738</v>
      </c>
      <c r="F9" s="18">
        <f>'Toxic Exposure Screenings'!$D9-'Toxic Exposure Screenings'!$E9</f>
        <v>2.0114173015785441E-2</v>
      </c>
      <c r="G9" s="18" t="b">
        <f t="shared" si="6"/>
        <v>1</v>
      </c>
      <c r="H9" s="18">
        <f t="shared" si="7"/>
        <v>1.7292067630777379E-2</v>
      </c>
      <c r="I9" s="38" t="b">
        <f t="shared" si="8"/>
        <v>1</v>
      </c>
      <c r="R9" s="21">
        <f t="shared" si="9"/>
        <v>5.9841147108217085E-2</v>
      </c>
      <c r="S9" s="22">
        <f t="shared" si="0"/>
        <v>1440326</v>
      </c>
      <c r="T9" s="23">
        <f t="shared" si="1"/>
        <v>0.51445175602621218</v>
      </c>
      <c r="U9" s="24">
        <f t="shared" si="2"/>
        <v>143.69504388029094</v>
      </c>
      <c r="V9" s="30">
        <f t="shared" si="10"/>
        <v>0</v>
      </c>
      <c r="W9" s="23" t="b">
        <f t="shared" si="3"/>
        <v>1</v>
      </c>
    </row>
    <row r="10" spans="1:24" x14ac:dyDescent="0.3">
      <c r="A10" s="48" t="s">
        <v>29</v>
      </c>
      <c r="B10" s="49">
        <v>340834</v>
      </c>
      <c r="C10" s="49">
        <v>666846</v>
      </c>
      <c r="D10" s="50">
        <f t="shared" si="4"/>
        <v>7.9539779457820578E-2</v>
      </c>
      <c r="E10" s="50">
        <f t="shared" si="5"/>
        <v>8.0059279158422272E-2</v>
      </c>
      <c r="F10" s="18">
        <f>'Toxic Exposure Screenings'!$D10-'Toxic Exposure Screenings'!$E10</f>
        <v>-5.1949970060169437E-4</v>
      </c>
      <c r="G10" s="18" t="b">
        <f t="shared" si="6"/>
        <v>1</v>
      </c>
      <c r="H10" s="18">
        <f t="shared" si="7"/>
        <v>8.0059279158422279E-3</v>
      </c>
      <c r="I10" s="38" t="b">
        <f t="shared" si="8"/>
        <v>0</v>
      </c>
      <c r="R10" s="21">
        <f t="shared" si="9"/>
        <v>-3.3382455605274197E-3</v>
      </c>
      <c r="S10" s="22">
        <f t="shared" si="0"/>
        <v>666846</v>
      </c>
      <c r="T10" s="23">
        <f t="shared" si="1"/>
        <v>0.51445175602621218</v>
      </c>
      <c r="U10" s="24">
        <f t="shared" si="2"/>
        <v>-5.4543441188600026</v>
      </c>
      <c r="V10" s="30">
        <f t="shared" si="10"/>
        <v>2.4576966066573737E-8</v>
      </c>
      <c r="W10" s="23" t="b">
        <f t="shared" si="3"/>
        <v>1</v>
      </c>
    </row>
    <row r="11" spans="1:24" x14ac:dyDescent="0.3">
      <c r="A11" s="48" t="s">
        <v>30</v>
      </c>
      <c r="B11" s="49">
        <v>41498</v>
      </c>
      <c r="C11" s="49">
        <v>82879</v>
      </c>
      <c r="D11" s="50">
        <f t="shared" si="4"/>
        <v>9.6843089830845469E-3</v>
      </c>
      <c r="E11" s="50">
        <f t="shared" si="5"/>
        <v>9.9501728995463421E-3</v>
      </c>
      <c r="F11" s="18">
        <f>'Toxic Exposure Screenings'!$D11-'Toxic Exposure Screenings'!$E11</f>
        <v>-2.658639164617952E-4</v>
      </c>
      <c r="G11" s="18" t="b">
        <f t="shared" si="6"/>
        <v>1</v>
      </c>
      <c r="H11" s="18">
        <f t="shared" si="7"/>
        <v>9.9501728995463425E-4</v>
      </c>
      <c r="I11" s="38" t="b">
        <f t="shared" si="8"/>
        <v>0</v>
      </c>
      <c r="R11" s="21">
        <f t="shared" si="9"/>
        <v>-1.3745907741363195E-2</v>
      </c>
      <c r="S11" s="22">
        <f t="shared" si="0"/>
        <v>82879</v>
      </c>
      <c r="T11" s="23">
        <f t="shared" si="1"/>
        <v>0.51445175602621218</v>
      </c>
      <c r="U11" s="24">
        <f t="shared" si="2"/>
        <v>-7.9178479035805811</v>
      </c>
      <c r="V11" s="30">
        <f t="shared" si="10"/>
        <v>1.2082835673206104E-15</v>
      </c>
      <c r="W11" s="23" t="b">
        <f t="shared" si="3"/>
        <v>1</v>
      </c>
    </row>
    <row r="12" spans="1:24" x14ac:dyDescent="0.3">
      <c r="A12" s="48" t="s">
        <v>31</v>
      </c>
      <c r="B12" s="49">
        <v>2963794</v>
      </c>
      <c r="C12" s="49">
        <v>5899460</v>
      </c>
      <c r="D12" s="50">
        <f t="shared" si="4"/>
        <v>0.69165494380963133</v>
      </c>
      <c r="E12" s="50">
        <f t="shared" si="5"/>
        <v>0.70826924810817771</v>
      </c>
      <c r="F12" s="18">
        <f>'Toxic Exposure Screenings'!$D12-'Toxic Exposure Screenings'!$E12</f>
        <v>-1.6614304298546378E-2</v>
      </c>
      <c r="G12" s="18" t="b">
        <f t="shared" si="6"/>
        <v>1</v>
      </c>
      <c r="H12" s="18">
        <f t="shared" si="7"/>
        <v>7.0826924810817773E-2</v>
      </c>
      <c r="I12" s="38" t="b">
        <f t="shared" si="8"/>
        <v>0</v>
      </c>
      <c r="R12" s="21">
        <f t="shared" si="9"/>
        <v>-1.2067809020893105E-2</v>
      </c>
      <c r="S12" s="22">
        <f t="shared" si="0"/>
        <v>5899460</v>
      </c>
      <c r="T12" s="23">
        <f t="shared" si="1"/>
        <v>0.51445175602621218</v>
      </c>
      <c r="U12" s="24">
        <f t="shared" si="2"/>
        <v>-58.647031981176418</v>
      </c>
      <c r="V12" s="30">
        <f t="shared" si="10"/>
        <v>0</v>
      </c>
      <c r="W12" s="23" t="b">
        <f t="shared" si="3"/>
        <v>1</v>
      </c>
    </row>
    <row r="13" spans="1:24" x14ac:dyDescent="0.3">
      <c r="A13" s="48" t="s">
        <v>32</v>
      </c>
      <c r="B13" s="49">
        <v>9055</v>
      </c>
      <c r="C13" s="49">
        <v>17720</v>
      </c>
      <c r="D13" s="50">
        <f t="shared" si="4"/>
        <v>2.1131480515164725E-3</v>
      </c>
      <c r="E13" s="50">
        <f t="shared" si="5"/>
        <v>2.1274033685247311E-3</v>
      </c>
      <c r="F13" s="18">
        <f>'Toxic Exposure Screenings'!$D13-'Toxic Exposure Screenings'!$E13</f>
        <v>-1.4255317008258529E-5</v>
      </c>
      <c r="G13" s="18" t="b">
        <f t="shared" si="6"/>
        <v>0</v>
      </c>
      <c r="H13" s="18">
        <f t="shared" si="7"/>
        <v>2.1274033685247311E-4</v>
      </c>
      <c r="I13" s="38" t="b">
        <f t="shared" si="8"/>
        <v>0</v>
      </c>
      <c r="R13" s="21">
        <f t="shared" si="9"/>
        <v>-3.4472413535259205E-3</v>
      </c>
      <c r="S13" s="22">
        <f t="shared" si="0"/>
        <v>17720</v>
      </c>
      <c r="T13" s="23">
        <f t="shared" si="1"/>
        <v>0.51445175602621218</v>
      </c>
      <c r="U13" s="24">
        <f t="shared" ref="U13" si="11">R13/SQRT((T13*(1-T13))/S13)</f>
        <v>-0.91815293924857244</v>
      </c>
      <c r="V13" s="30">
        <f t="shared" ref="V13" si="12">_xlfn.NORM.DIST(-ABS(U13),0,1,TRUE)</f>
        <v>0.17926940129390964</v>
      </c>
      <c r="W13" s="23" t="b">
        <f t="shared" ref="W13" si="13">V13&lt;Pvalue</f>
        <v>0</v>
      </c>
    </row>
    <row r="14" spans="1:24" x14ac:dyDescent="0.3">
      <c r="A14" s="51" t="s">
        <v>33</v>
      </c>
      <c r="B14" s="16">
        <f>SUM(B7:B13)</f>
        <v>4285076</v>
      </c>
      <c r="C14" s="16">
        <f>SUM(C7:C13)</f>
        <v>8329403</v>
      </c>
      <c r="D14" s="15"/>
      <c r="E14" s="15"/>
      <c r="F14" s="14"/>
      <c r="G14" s="14"/>
      <c r="H14" s="14"/>
      <c r="I14" s="44"/>
      <c r="R14" s="3"/>
      <c r="S14" s="5"/>
      <c r="U14" s="6"/>
      <c r="V14" s="34"/>
      <c r="W14"/>
    </row>
    <row r="15" spans="1:24" x14ac:dyDescent="0.3">
      <c r="A15" s="48" t="s">
        <v>34</v>
      </c>
      <c r="B15" s="49">
        <v>25218</v>
      </c>
      <c r="C15" s="49">
        <v>109111</v>
      </c>
      <c r="D15" s="53">
        <f>'Toxic Exposure Screenings'!$B15/B16</f>
        <v>5.8506449908057312E-3</v>
      </c>
      <c r="E15" s="53">
        <f>'Toxic Exposure Screenings'!$B15/C16</f>
        <v>2.9884408558189272E-3</v>
      </c>
      <c r="F15" s="35">
        <f>'Toxic Exposure Screenings'!$D15-'Toxic Exposure Screenings'!$E15</f>
        <v>2.862204134986804E-3</v>
      </c>
      <c r="G15" s="35"/>
      <c r="H15" s="35"/>
      <c r="I15" s="60"/>
      <c r="V15" s="32"/>
      <c r="W15"/>
    </row>
    <row r="16" spans="1:24" x14ac:dyDescent="0.3">
      <c r="A16" s="20" t="s">
        <v>35</v>
      </c>
      <c r="B16" s="13">
        <f>SUM(B14:B15)</f>
        <v>4310294</v>
      </c>
      <c r="C16" s="13">
        <f>SUM(C14:C15)</f>
        <v>8438514</v>
      </c>
      <c r="D16" s="12"/>
      <c r="E16" s="12"/>
      <c r="F16" s="14"/>
      <c r="G16" s="14"/>
      <c r="H16" s="14"/>
      <c r="I16" s="44"/>
      <c r="V16" s="32"/>
      <c r="W16"/>
    </row>
    <row r="18" spans="1:25" x14ac:dyDescent="0.3">
      <c r="V18" s="6"/>
    </row>
    <row r="19" spans="1:25" x14ac:dyDescent="0.3">
      <c r="K19" s="7" t="str">
        <f>"Toxic Exposure Screenings" &amp; " by " &amp;A20</f>
        <v>Toxic Exposure Screenings by Gender</v>
      </c>
      <c r="V19" s="6"/>
    </row>
    <row r="20" spans="1:25" s="2" customFormat="1" ht="72" x14ac:dyDescent="0.35">
      <c r="A20" s="45" t="s">
        <v>36</v>
      </c>
      <c r="B20" s="46" t="s">
        <v>4</v>
      </c>
      <c r="C20" s="46" t="s">
        <v>13</v>
      </c>
      <c r="D20" s="46" t="s">
        <v>53</v>
      </c>
      <c r="E20" s="46" t="s">
        <v>38</v>
      </c>
      <c r="F20" s="27" t="s">
        <v>16</v>
      </c>
      <c r="G20" s="27" t="s">
        <v>17</v>
      </c>
      <c r="H20" s="27" t="s">
        <v>18</v>
      </c>
      <c r="I20" s="28" t="s">
        <v>19</v>
      </c>
      <c r="R20" s="29" t="s">
        <v>20</v>
      </c>
      <c r="S20" s="29" t="s">
        <v>21</v>
      </c>
      <c r="T20" s="29" t="s">
        <v>22</v>
      </c>
      <c r="U20" s="29" t="s">
        <v>23</v>
      </c>
      <c r="V20" s="33" t="s">
        <v>24</v>
      </c>
      <c r="W20" s="29" t="s">
        <v>25</v>
      </c>
    </row>
    <row r="21" spans="1:25" x14ac:dyDescent="0.3">
      <c r="A21" s="48" t="s">
        <v>39</v>
      </c>
      <c r="B21" s="49">
        <v>462659</v>
      </c>
      <c r="C21" s="49">
        <v>882514</v>
      </c>
      <c r="D21" s="50">
        <f>(B21/SUM($B$21:$B$22))</f>
        <v>0.10734801612474355</v>
      </c>
      <c r="E21" s="50">
        <f>(C21/SUM($C$21:$C$22))</f>
        <v>0.10486650082376825</v>
      </c>
      <c r="F21" s="18">
        <f>'Toxic Exposure Screenings'!$D21-'Toxic Exposure Screenings'!$E21</f>
        <v>2.4815153009753038E-3</v>
      </c>
      <c r="G21" s="18" t="b">
        <f>W21</f>
        <v>1</v>
      </c>
      <c r="H21" s="18">
        <f>E21*0.1</f>
        <v>1.0486650082376826E-2</v>
      </c>
      <c r="I21" s="38" t="b">
        <f>IF(ABS(F21)&gt;=(H21), TRUE, FALSE)</f>
        <v>0</v>
      </c>
      <c r="R21" s="21">
        <f>(B21/C21)-($B$23/$C$23)</f>
        <v>1.2118876111475663E-2</v>
      </c>
      <c r="S21" s="22">
        <f>C21</f>
        <v>882514</v>
      </c>
      <c r="T21" s="23">
        <f>B$23/C$23</f>
        <v>0.51213229724101506</v>
      </c>
      <c r="U21" s="24">
        <f t="shared" ref="U21:U35" si="14">R21/SQRT((T21*(1-T21))/S21)</f>
        <v>22.776187576617676</v>
      </c>
      <c r="V21" s="30">
        <f>_xlfn.NORM.DIST(-ABS(U21),0,1,TRUE)</f>
        <v>3.9485673715186265E-115</v>
      </c>
      <c r="W21" s="23" t="b">
        <f>V21&lt;Pvalue</f>
        <v>1</v>
      </c>
    </row>
    <row r="22" spans="1:25" x14ac:dyDescent="0.3">
      <c r="A22" s="48" t="s">
        <v>40</v>
      </c>
      <c r="B22" s="49">
        <v>3847239</v>
      </c>
      <c r="C22" s="49">
        <v>7533081</v>
      </c>
      <c r="D22" s="50">
        <f>(B22/SUM($B$21:$B$22))</f>
        <v>0.89265198387525646</v>
      </c>
      <c r="E22" s="50">
        <f>(C22/SUM($C$21:$C$22))</f>
        <v>0.89513349917623175</v>
      </c>
      <c r="F22" s="18">
        <f>'Toxic Exposure Screenings'!$D22-'Toxic Exposure Screenings'!$E22</f>
        <v>-2.4815153009752899E-3</v>
      </c>
      <c r="G22" s="18" t="b">
        <f>W22</f>
        <v>1</v>
      </c>
      <c r="H22" s="18">
        <f>E22*0.1</f>
        <v>8.9513349917623178E-2</v>
      </c>
      <c r="I22" s="38" t="b">
        <f>IF(ABS(F22)&gt;=(H22), TRUE, FALSE)</f>
        <v>0</v>
      </c>
      <c r="J22" s="2"/>
      <c r="K22" s="2"/>
      <c r="L22" s="2"/>
      <c r="M22" s="2"/>
      <c r="N22" s="2"/>
      <c r="O22" s="2"/>
      <c r="P22" s="2"/>
      <c r="Q22" s="2"/>
      <c r="R22" s="21">
        <f>(B22/C22)-($B$23/$C$23)</f>
        <v>-1.419748152534539E-3</v>
      </c>
      <c r="S22" s="22">
        <f>C22</f>
        <v>7533081</v>
      </c>
      <c r="T22" s="23">
        <f>B$23/C$23</f>
        <v>0.51213229724101506</v>
      </c>
      <c r="U22" s="24">
        <f t="shared" si="14"/>
        <v>-7.7957071108300937</v>
      </c>
      <c r="V22" s="30">
        <f t="shared" ref="V22" si="15">_xlfn.NORM.DIST(-ABS(U22),0,1,TRUE)</f>
        <v>3.202439575367702E-15</v>
      </c>
      <c r="W22" s="23" t="b">
        <f>V22&lt;Pvalue</f>
        <v>1</v>
      </c>
    </row>
    <row r="23" spans="1:25" x14ac:dyDescent="0.3">
      <c r="A23" s="51" t="s">
        <v>33</v>
      </c>
      <c r="B23" s="16">
        <f>SUM(B21:B22)</f>
        <v>4309898</v>
      </c>
      <c r="C23" s="16">
        <f>SUM(C21:C22)</f>
        <v>8415595</v>
      </c>
      <c r="D23" s="15"/>
      <c r="E23" s="15"/>
      <c r="F23" s="14"/>
      <c r="G23" s="14"/>
      <c r="H23" s="14"/>
      <c r="I23" s="44"/>
      <c r="R23" s="3"/>
      <c r="S23" s="5"/>
      <c r="U23" s="6"/>
      <c r="V23" s="34"/>
      <c r="W23" s="6"/>
      <c r="X23" s="6"/>
      <c r="Y23" s="6"/>
    </row>
    <row r="24" spans="1:25" x14ac:dyDescent="0.3">
      <c r="A24" s="48" t="s">
        <v>34</v>
      </c>
      <c r="B24" s="49">
        <v>396</v>
      </c>
      <c r="C24" s="49">
        <v>22919</v>
      </c>
      <c r="D24" s="52">
        <f>'Toxic Exposure Screenings'!$B24/B25</f>
        <v>9.1873083367399063E-5</v>
      </c>
      <c r="E24" s="52">
        <f>'Toxic Exposure Screenings'!$C24/C25</f>
        <v>2.7159995231387894E-3</v>
      </c>
      <c r="F24" s="35">
        <f>'Toxic Exposure Screenings'!$D24-'Toxic Exposure Screenings'!$E24</f>
        <v>-2.6241264397713904E-3</v>
      </c>
      <c r="G24" s="35"/>
      <c r="H24" s="35"/>
      <c r="I24" s="60"/>
      <c r="U24" s="6"/>
      <c r="V24" s="32"/>
      <c r="W24"/>
    </row>
    <row r="25" spans="1:25" x14ac:dyDescent="0.3">
      <c r="A25" s="20" t="s">
        <v>35</v>
      </c>
      <c r="B25" s="13">
        <f>SUM(B23:B24)</f>
        <v>4310294</v>
      </c>
      <c r="C25" s="13">
        <f>SUM(C23:C24)</f>
        <v>8438514</v>
      </c>
      <c r="D25" s="12"/>
      <c r="E25" s="12"/>
      <c r="F25" s="14"/>
      <c r="G25" s="14"/>
      <c r="H25" s="14"/>
      <c r="I25" s="44"/>
      <c r="U25" s="6"/>
      <c r="V25" s="32"/>
      <c r="W25"/>
    </row>
    <row r="26" spans="1:25" x14ac:dyDescent="0.3">
      <c r="J26" s="2"/>
      <c r="K26" s="2"/>
      <c r="L26" s="2"/>
      <c r="M26" s="2"/>
      <c r="N26" s="2"/>
      <c r="O26" s="2"/>
      <c r="P26" s="2"/>
      <c r="Q26" s="2"/>
      <c r="U26" s="6"/>
      <c r="V26" s="32"/>
      <c r="W26"/>
    </row>
    <row r="27" spans="1:25" x14ac:dyDescent="0.3">
      <c r="K27" s="7" t="str">
        <f>"Toxic Exposure Screenings" &amp; " by " &amp;A28</f>
        <v>Toxic Exposure Screenings by Age</v>
      </c>
      <c r="U27" s="6"/>
      <c r="V27" s="32"/>
      <c r="W27"/>
    </row>
    <row r="28" spans="1:25" ht="72" x14ac:dyDescent="0.35">
      <c r="A28" s="26" t="s">
        <v>41</v>
      </c>
      <c r="B28" s="27" t="s">
        <v>4</v>
      </c>
      <c r="C28" s="27" t="s">
        <v>13</v>
      </c>
      <c r="D28" s="46" t="s">
        <v>54</v>
      </c>
      <c r="E28" s="27" t="s">
        <v>43</v>
      </c>
      <c r="F28" s="27" t="s">
        <v>16</v>
      </c>
      <c r="G28" s="27" t="s">
        <v>17</v>
      </c>
      <c r="H28" s="27" t="s">
        <v>18</v>
      </c>
      <c r="I28" s="28" t="s">
        <v>19</v>
      </c>
      <c r="J28" s="2"/>
      <c r="K28" s="2"/>
      <c r="L28" s="2"/>
      <c r="M28" s="2"/>
      <c r="N28" s="2"/>
      <c r="O28" s="2"/>
      <c r="P28" s="2"/>
      <c r="Q28" s="2"/>
      <c r="R28" s="29" t="s">
        <v>20</v>
      </c>
      <c r="S28" s="29" t="s">
        <v>21</v>
      </c>
      <c r="T28" s="29" t="s">
        <v>22</v>
      </c>
      <c r="U28" s="29" t="s">
        <v>23</v>
      </c>
      <c r="V28" s="33" t="s">
        <v>24</v>
      </c>
      <c r="W28" s="29" t="s">
        <v>25</v>
      </c>
    </row>
    <row r="29" spans="1:25" x14ac:dyDescent="0.3">
      <c r="A29" s="17" t="s">
        <v>44</v>
      </c>
      <c r="B29" s="19">
        <v>25974</v>
      </c>
      <c r="C29" s="19">
        <v>54630</v>
      </c>
      <c r="D29" s="25">
        <f>B29/SUM(B$29:B$35)</f>
        <v>6.0265801559059159E-3</v>
      </c>
      <c r="E29" s="25">
        <f>C29/SUM(C$29:C$35)</f>
        <v>6.4914779596915223E-3</v>
      </c>
      <c r="F29" s="18">
        <f>D29-E29</f>
        <v>-4.6489780378560636E-4</v>
      </c>
      <c r="G29" s="18" t="b">
        <f>W29</f>
        <v>1</v>
      </c>
      <c r="H29" s="18">
        <f>E29*0.1</f>
        <v>6.4914779596915223E-4</v>
      </c>
      <c r="I29" s="38" t="b">
        <f>IF(ABS(F29)&gt;=H29,TRUE,FALSE)</f>
        <v>0</v>
      </c>
      <c r="R29" s="21">
        <f>(B29/C29)-($B$36/$C$36)</f>
        <v>-3.6677032744283522E-2</v>
      </c>
      <c r="S29" s="22">
        <f t="shared" ref="S29:S35" si="16">C29</f>
        <v>54630</v>
      </c>
      <c r="T29" s="23">
        <f>B$36/C$36</f>
        <v>0.51213008052023079</v>
      </c>
      <c r="U29" s="24">
        <f>R29/SQRT((T29*(1-T29))/S29)</f>
        <v>-17.150138424686435</v>
      </c>
      <c r="V29" s="30">
        <f t="shared" ref="V29:V35" si="17">_xlfn.NORM.DIST(-ABS(U29),0,1,TRUE)</f>
        <v>3.1351464963413811E-66</v>
      </c>
      <c r="W29" s="23" t="b">
        <f t="shared" ref="W29:W35" si="18">V29&lt;Pvalue</f>
        <v>1</v>
      </c>
    </row>
    <row r="30" spans="1:25" x14ac:dyDescent="0.3">
      <c r="A30" s="17" t="s">
        <v>45</v>
      </c>
      <c r="B30" s="19">
        <v>271676</v>
      </c>
      <c r="C30" s="19">
        <v>698890</v>
      </c>
      <c r="D30" s="25">
        <f t="shared" ref="D30:E35" si="19">B30/SUM(B$29:B$35)</f>
        <v>6.3035234867016857E-2</v>
      </c>
      <c r="E30" s="25">
        <f t="shared" si="19"/>
        <v>8.3046476867084162E-2</v>
      </c>
      <c r="F30" s="18">
        <f t="shared" ref="F30:F35" si="20">D30-E30</f>
        <v>-2.0011242000067306E-2</v>
      </c>
      <c r="G30" s="18" t="b">
        <f t="shared" ref="G30:G35" si="21">W30</f>
        <v>1</v>
      </c>
      <c r="H30" s="18">
        <f t="shared" ref="H30:H35" si="22">E30*0.1</f>
        <v>8.3046476867084159E-3</v>
      </c>
      <c r="I30" s="38" t="b">
        <f t="shared" ref="I30:I35" si="23">IF(ABS(F30)&gt;=H30,TRUE,FALSE)</f>
        <v>1</v>
      </c>
      <c r="J30" s="2"/>
      <c r="K30" s="2"/>
      <c r="L30" s="2"/>
      <c r="M30" s="2"/>
      <c r="N30" s="2"/>
      <c r="O30" s="2"/>
      <c r="P30" s="2"/>
      <c r="Q30" s="2"/>
      <c r="R30" s="21">
        <f t="shared" ref="R30:R35" si="24">(B30/C30)-($B$36/$C$36)</f>
        <v>-0.12340510234054586</v>
      </c>
      <c r="S30" s="22">
        <f t="shared" si="16"/>
        <v>698890</v>
      </c>
      <c r="T30" s="23">
        <f t="shared" ref="T30:T35" si="25">B$36/C$36</f>
        <v>0.51213008052023079</v>
      </c>
      <c r="U30" s="24">
        <f t="shared" si="14"/>
        <v>-206.39319128337124</v>
      </c>
      <c r="V30" s="30">
        <f t="shared" si="17"/>
        <v>0</v>
      </c>
      <c r="W30" s="23" t="b">
        <f t="shared" si="18"/>
        <v>1</v>
      </c>
    </row>
    <row r="31" spans="1:25" x14ac:dyDescent="0.3">
      <c r="A31" s="17" t="s">
        <v>46</v>
      </c>
      <c r="B31" s="19">
        <v>467299</v>
      </c>
      <c r="C31" s="19">
        <v>1207738</v>
      </c>
      <c r="D31" s="25">
        <f t="shared" si="19"/>
        <v>0.10842438131495645</v>
      </c>
      <c r="E31" s="25">
        <f t="shared" si="19"/>
        <v>0.14351097580234157</v>
      </c>
      <c r="F31" s="18">
        <f t="shared" si="20"/>
        <v>-3.5086594487385117E-2</v>
      </c>
      <c r="G31" s="18" t="b">
        <f t="shared" si="21"/>
        <v>1</v>
      </c>
      <c r="H31" s="18">
        <f t="shared" si="22"/>
        <v>1.4351097580234158E-2</v>
      </c>
      <c r="I31" s="38" t="b">
        <f t="shared" si="23"/>
        <v>1</v>
      </c>
      <c r="R31" s="21">
        <f t="shared" si="24"/>
        <v>-0.12520924172903602</v>
      </c>
      <c r="S31" s="22">
        <f t="shared" si="16"/>
        <v>1207738</v>
      </c>
      <c r="T31" s="23">
        <f t="shared" si="25"/>
        <v>0.51213008052023079</v>
      </c>
      <c r="U31" s="24">
        <f t="shared" si="14"/>
        <v>-275.28375742305445</v>
      </c>
      <c r="V31" s="30">
        <f t="shared" si="17"/>
        <v>0</v>
      </c>
      <c r="W31" s="23" t="b">
        <f t="shared" si="18"/>
        <v>1</v>
      </c>
    </row>
    <row r="32" spans="1:25" x14ac:dyDescent="0.3">
      <c r="A32" s="17" t="s">
        <v>47</v>
      </c>
      <c r="B32" s="19">
        <v>509913</v>
      </c>
      <c r="C32" s="19">
        <v>1100769</v>
      </c>
      <c r="D32" s="25">
        <f t="shared" si="19"/>
        <v>0.1183118336428141</v>
      </c>
      <c r="E32" s="25">
        <f t="shared" si="19"/>
        <v>0.13080025081844548</v>
      </c>
      <c r="F32" s="18">
        <f t="shared" si="20"/>
        <v>-1.2488417175631386E-2</v>
      </c>
      <c r="G32" s="18" t="b">
        <f t="shared" si="21"/>
        <v>1</v>
      </c>
      <c r="H32" s="18">
        <f t="shared" si="22"/>
        <v>1.3080025081844549E-2</v>
      </c>
      <c r="I32" s="38" t="b">
        <f t="shared" si="23"/>
        <v>0</v>
      </c>
      <c r="R32" s="21">
        <f t="shared" si="24"/>
        <v>-4.8896650072970727E-2</v>
      </c>
      <c r="S32" s="22">
        <f t="shared" si="16"/>
        <v>1100769</v>
      </c>
      <c r="T32" s="23">
        <f t="shared" si="25"/>
        <v>0.51213008052023079</v>
      </c>
      <c r="U32" s="24">
        <f t="shared" si="14"/>
        <v>-102.63253077853574</v>
      </c>
      <c r="V32" s="30">
        <f t="shared" si="17"/>
        <v>0</v>
      </c>
      <c r="W32" s="23" t="b">
        <f t="shared" si="18"/>
        <v>1</v>
      </c>
    </row>
    <row r="33" spans="1:23" x14ac:dyDescent="0.3">
      <c r="A33" s="17" t="s">
        <v>48</v>
      </c>
      <c r="B33" s="19">
        <v>745008</v>
      </c>
      <c r="C33" s="19">
        <v>1378806</v>
      </c>
      <c r="D33" s="25">
        <f t="shared" si="19"/>
        <v>0.17285941436787383</v>
      </c>
      <c r="E33" s="25">
        <f t="shared" si="19"/>
        <v>0.16383834449369264</v>
      </c>
      <c r="F33" s="18">
        <f t="shared" si="20"/>
        <v>9.0210698741811923E-3</v>
      </c>
      <c r="G33" s="18" t="b">
        <f t="shared" si="21"/>
        <v>1</v>
      </c>
      <c r="H33" s="18">
        <f t="shared" si="22"/>
        <v>1.6383834449369264E-2</v>
      </c>
      <c r="I33" s="38" t="b">
        <f t="shared" si="23"/>
        <v>0</v>
      </c>
      <c r="R33" s="21">
        <f t="shared" si="24"/>
        <v>2.8198290548650529E-2</v>
      </c>
      <c r="S33" s="22">
        <f t="shared" si="16"/>
        <v>1378806</v>
      </c>
      <c r="T33" s="23">
        <f t="shared" si="25"/>
        <v>0.51213008052023079</v>
      </c>
      <c r="U33" s="24">
        <f t="shared" si="14"/>
        <v>66.241811405143892</v>
      </c>
      <c r="V33" s="30">
        <f t="shared" si="17"/>
        <v>0</v>
      </c>
      <c r="W33" s="23" t="b">
        <f t="shared" si="18"/>
        <v>1</v>
      </c>
    </row>
    <row r="34" spans="1:23" x14ac:dyDescent="0.3">
      <c r="A34" s="17" t="s">
        <v>49</v>
      </c>
      <c r="B34" s="19">
        <v>2021437</v>
      </c>
      <c r="C34" s="19">
        <v>3422374</v>
      </c>
      <c r="D34" s="25">
        <f t="shared" si="19"/>
        <v>0.46902102527966383</v>
      </c>
      <c r="E34" s="25">
        <f t="shared" si="19"/>
        <v>0.40666786364307733</v>
      </c>
      <c r="F34" s="18">
        <f t="shared" si="20"/>
        <v>6.2353161636586496E-2</v>
      </c>
      <c r="G34" s="18" t="b">
        <f t="shared" si="21"/>
        <v>1</v>
      </c>
      <c r="H34" s="18">
        <f t="shared" si="22"/>
        <v>4.0666786364307733E-2</v>
      </c>
      <c r="I34" s="38" t="b">
        <f t="shared" si="23"/>
        <v>1</v>
      </c>
      <c r="J34" s="2"/>
      <c r="K34" s="2"/>
      <c r="L34" s="2"/>
      <c r="M34" s="2"/>
      <c r="N34" s="2"/>
      <c r="O34" s="2"/>
      <c r="P34" s="2"/>
      <c r="Q34" s="2"/>
      <c r="R34" s="21">
        <f t="shared" si="24"/>
        <v>7.8523366472996736E-2</v>
      </c>
      <c r="S34" s="22">
        <f t="shared" si="16"/>
        <v>3422374</v>
      </c>
      <c r="T34" s="23">
        <f t="shared" si="25"/>
        <v>0.51213008052023079</v>
      </c>
      <c r="U34" s="24">
        <f t="shared" si="14"/>
        <v>290.61664240934698</v>
      </c>
      <c r="V34" s="30">
        <f t="shared" si="17"/>
        <v>0</v>
      </c>
      <c r="W34" s="23" t="b">
        <f t="shared" si="18"/>
        <v>1</v>
      </c>
    </row>
    <row r="35" spans="1:23" x14ac:dyDescent="0.3">
      <c r="A35" s="17" t="s">
        <v>50</v>
      </c>
      <c r="B35" s="19">
        <v>268600</v>
      </c>
      <c r="C35" s="19">
        <v>552442</v>
      </c>
      <c r="D35" s="25">
        <f t="shared" si="19"/>
        <v>6.2321530371769046E-2</v>
      </c>
      <c r="E35" s="25">
        <f t="shared" si="19"/>
        <v>6.5644610415667284E-2</v>
      </c>
      <c r="F35" s="18">
        <f t="shared" si="20"/>
        <v>-3.3230800438982383E-3</v>
      </c>
      <c r="G35" s="18" t="b">
        <f t="shared" si="21"/>
        <v>1</v>
      </c>
      <c r="H35" s="18">
        <f t="shared" si="22"/>
        <v>6.564461041566729E-3</v>
      </c>
      <c r="I35" s="38" t="b">
        <f t="shared" si="23"/>
        <v>0</v>
      </c>
      <c r="R35" s="21">
        <f t="shared" si="24"/>
        <v>-2.5925193853395201E-2</v>
      </c>
      <c r="S35" s="22">
        <f t="shared" si="16"/>
        <v>552442</v>
      </c>
      <c r="T35" s="23">
        <f t="shared" si="25"/>
        <v>0.51213008052023079</v>
      </c>
      <c r="U35" s="24">
        <f t="shared" si="14"/>
        <v>-38.549894458330158</v>
      </c>
      <c r="V35" s="30">
        <f t="shared" si="17"/>
        <v>0</v>
      </c>
      <c r="W35" s="23" t="b">
        <f t="shared" si="18"/>
        <v>1</v>
      </c>
    </row>
    <row r="36" spans="1:23" x14ac:dyDescent="0.3">
      <c r="A36" s="20" t="s">
        <v>33</v>
      </c>
      <c r="B36" s="13">
        <f>SUM(B29:B35)</f>
        <v>4309907</v>
      </c>
      <c r="C36" s="13">
        <f>SUM(C29:C35)</f>
        <v>8415649</v>
      </c>
      <c r="D36" s="12"/>
      <c r="E36" s="12"/>
      <c r="F36" s="14"/>
      <c r="G36" s="14"/>
      <c r="H36" s="14"/>
      <c r="I36" s="44"/>
      <c r="R36" s="3"/>
      <c r="S36" s="5"/>
      <c r="U36" s="6"/>
      <c r="V36" s="34"/>
      <c r="W36"/>
    </row>
    <row r="37" spans="1:23" x14ac:dyDescent="0.3">
      <c r="A37" s="17" t="s">
        <v>34</v>
      </c>
      <c r="B37" s="19">
        <v>387</v>
      </c>
      <c r="C37" s="19">
        <v>22865</v>
      </c>
      <c r="D37" s="36">
        <f>B37/B38</f>
        <v>8.9785058745412731E-5</v>
      </c>
      <c r="E37" s="36">
        <f>C37/C38</f>
        <v>2.7096002921841453E-3</v>
      </c>
      <c r="F37" s="36">
        <f>D37-E37</f>
        <v>-2.6198152334387325E-3</v>
      </c>
      <c r="G37" s="36"/>
      <c r="H37" s="36"/>
      <c r="I37" s="37"/>
      <c r="V37" s="32"/>
      <c r="W37"/>
    </row>
    <row r="38" spans="1:23" x14ac:dyDescent="0.3">
      <c r="A38" s="20" t="s">
        <v>35</v>
      </c>
      <c r="B38" s="13">
        <f>SUM(B36:B37)</f>
        <v>4310294</v>
      </c>
      <c r="C38" s="13">
        <f>SUM(C36:C37)</f>
        <v>8438514</v>
      </c>
      <c r="D38" s="12"/>
      <c r="E38" s="12"/>
      <c r="F38" s="14"/>
      <c r="G38" s="14"/>
      <c r="H38" s="14"/>
      <c r="I38" s="44"/>
      <c r="V38" s="32"/>
      <c r="W38"/>
    </row>
  </sheetData>
  <sheetProtection algorithmName="SHA-512" hashValue="H/U/DBa2qOu80pRIEXcs4NGzbvKO7AC6WxAQ5nsi9/JXxGQo8TcKsrCbzKqmfU39W2bzCtopEOusHCZ8B++40Q==" saltValue="rTILk8cOZIWENaSlSHGnEw==" spinCount="100000" sheet="1" objects="1" scenarios="1" selectLockedCells="1" selectUnlockedCells="1"/>
  <conditionalFormatting sqref="V7:V13">
    <cfRule type="cellIs" dxfId="5" priority="3" operator="lessThanOrEqual">
      <formula>$X$4</formula>
    </cfRule>
  </conditionalFormatting>
  <conditionalFormatting sqref="V21:V22">
    <cfRule type="cellIs" dxfId="4" priority="2" operator="lessThanOrEqual">
      <formula>$X$4</formula>
    </cfRule>
  </conditionalFormatting>
  <conditionalFormatting sqref="V29:V35">
    <cfRule type="cellIs" dxfId="3" priority="1" operator="lessThanOrEqual">
      <formula>$X$4</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44E3C-BC3F-4CB5-961D-5355AF70860A}">
  <dimension ref="A1:Y38"/>
  <sheetViews>
    <sheetView showGridLines="0" workbookViewId="0">
      <pane ySplit="3" topLeftCell="A4" activePane="bottomLeft" state="frozen"/>
      <selection pane="bottomLeft" activeCell="W33" sqref="W33"/>
    </sheetView>
  </sheetViews>
  <sheetFormatPr defaultRowHeight="14.4" x14ac:dyDescent="0.3"/>
  <cols>
    <col min="1" max="1" width="52" customWidth="1"/>
    <col min="2" max="2" width="17.88671875" customWidth="1"/>
    <col min="3" max="3" width="11.5546875" bestFit="1" customWidth="1"/>
    <col min="4" max="5" width="18.109375" customWidth="1"/>
    <col min="6" max="6" width="12.5546875" bestFit="1" customWidth="1"/>
    <col min="7" max="9" width="12.5546875" customWidth="1"/>
    <col min="10" max="10" width="5.5546875" customWidth="1"/>
    <col min="11" max="14" width="12.5546875" customWidth="1"/>
    <col min="15" max="15" width="17.5546875" customWidth="1"/>
    <col min="16" max="16" width="12.5546875" customWidth="1"/>
    <col min="17" max="17" width="6.109375" customWidth="1"/>
    <col min="18" max="18" width="10" customWidth="1"/>
    <col min="19" max="19" width="10.5546875" bestFit="1" customWidth="1"/>
    <col min="21" max="21" width="12.5546875" bestFit="1" customWidth="1"/>
    <col min="22" max="22" width="9.109375" style="32"/>
    <col min="23" max="23" width="19.5546875" bestFit="1" customWidth="1"/>
  </cols>
  <sheetData>
    <row r="1" spans="1:24" ht="46.2" x14ac:dyDescent="0.85">
      <c r="A1" s="1" t="s">
        <v>2</v>
      </c>
      <c r="U1" s="8" t="s">
        <v>5</v>
      </c>
      <c r="V1" s="9">
        <f>ABS(_xlfn.NORM.S.INV((X1)/2))</f>
        <v>1.9599639845400538</v>
      </c>
      <c r="W1" s="31" t="s">
        <v>6</v>
      </c>
      <c r="X1" s="10">
        <v>0.05</v>
      </c>
    </row>
    <row r="2" spans="1:24" ht="18" x14ac:dyDescent="0.35">
      <c r="A2" s="4" t="s">
        <v>55</v>
      </c>
      <c r="B2" s="4"/>
      <c r="V2"/>
      <c r="W2" s="32"/>
    </row>
    <row r="3" spans="1:24" ht="18" x14ac:dyDescent="0.35">
      <c r="A3" s="4" t="s">
        <v>56</v>
      </c>
      <c r="B3" s="4"/>
      <c r="V3"/>
      <c r="W3" s="32"/>
    </row>
    <row r="4" spans="1:24" x14ac:dyDescent="0.3">
      <c r="K4" s="7" t="str">
        <f>"New Planning Population Enrollees" &amp; " by " &amp;A6</f>
        <v>New Planning Population Enrollees by Race/Ethnicity</v>
      </c>
      <c r="S4" t="s">
        <v>9</v>
      </c>
      <c r="V4"/>
      <c r="W4" s="11" t="s">
        <v>10</v>
      </c>
      <c r="X4">
        <v>0.05</v>
      </c>
    </row>
    <row r="6" spans="1:24" s="2" customFormat="1" ht="72" x14ac:dyDescent="0.35">
      <c r="A6" s="45" t="s">
        <v>11</v>
      </c>
      <c r="B6" s="46" t="s">
        <v>57</v>
      </c>
      <c r="C6" s="46" t="s">
        <v>13</v>
      </c>
      <c r="D6" s="46" t="s">
        <v>58</v>
      </c>
      <c r="E6" s="46" t="s">
        <v>15</v>
      </c>
      <c r="F6" s="27" t="s">
        <v>16</v>
      </c>
      <c r="G6" s="27" t="s">
        <v>17</v>
      </c>
      <c r="H6" s="27" t="s">
        <v>18</v>
      </c>
      <c r="I6" s="28" t="s">
        <v>19</v>
      </c>
      <c r="R6" s="29" t="s">
        <v>20</v>
      </c>
      <c r="S6" s="29" t="s">
        <v>21</v>
      </c>
      <c r="T6" s="29" t="s">
        <v>22</v>
      </c>
      <c r="U6" s="29" t="s">
        <v>23</v>
      </c>
      <c r="V6" s="33" t="s">
        <v>24</v>
      </c>
      <c r="W6" s="29" t="s">
        <v>25</v>
      </c>
    </row>
    <row r="7" spans="1:24" x14ac:dyDescent="0.3">
      <c r="A7" s="48" t="s">
        <v>26</v>
      </c>
      <c r="B7" s="49">
        <v>912</v>
      </c>
      <c r="C7" s="49">
        <v>17626</v>
      </c>
      <c r="D7" s="50">
        <f>(B7/SUM($B$7:$B$13))</f>
        <v>6.9753034486450928E-3</v>
      </c>
      <c r="E7" s="50">
        <f>(C7/SUM($C$7:$C$13))</f>
        <v>1.0312770786294652E-2</v>
      </c>
      <c r="F7" s="18">
        <f>'New Planning Enrollees'!$D7-'New Planning Enrollees'!$E7</f>
        <v>-3.3374673376495587E-3</v>
      </c>
      <c r="G7" s="18" t="b">
        <f>W7</f>
        <v>1</v>
      </c>
      <c r="H7" s="18">
        <f>E7*0.1</f>
        <v>1.0312770786294653E-3</v>
      </c>
      <c r="I7" s="38" t="b">
        <f>IF(ABS(F7)&gt;=H7,TRUE,FALSE)</f>
        <v>1</v>
      </c>
      <c r="R7" s="21">
        <f>(B7/C7)-($B$14/$C$14)</f>
        <v>-2.4756827527270327E-2</v>
      </c>
      <c r="S7" s="22">
        <f t="shared" ref="S7:S13" si="0">C7</f>
        <v>17626</v>
      </c>
      <c r="T7" s="23">
        <f t="shared" ref="T7:T13" si="1">B$14/C$14</f>
        <v>7.6498572676481719E-2</v>
      </c>
      <c r="U7" s="24">
        <f>R7/SQRT((T7*(1-T7))/S7)</f>
        <v>-12.365919711999437</v>
      </c>
      <c r="V7" s="30">
        <f>_xlfn.NORM.DIST(-ABS(U7),0,1,TRUE)</f>
        <v>1.9980553029496935E-35</v>
      </c>
      <c r="W7" s="23" t="b">
        <f t="shared" ref="W7:W12" si="2">V7&lt;Pvalue</f>
        <v>1</v>
      </c>
    </row>
    <row r="8" spans="1:24" x14ac:dyDescent="0.3">
      <c r="A8" s="48" t="s">
        <v>27</v>
      </c>
      <c r="B8" s="49">
        <v>3588</v>
      </c>
      <c r="C8" s="49">
        <v>29215</v>
      </c>
      <c r="D8" s="50">
        <f t="shared" ref="D8:D13" si="3">(B8/SUM($B$7:$B$13))</f>
        <v>2.7442312251906353E-2</v>
      </c>
      <c r="E8" s="50">
        <f t="shared" ref="E8:E13" si="4">(C8/SUM($C$7:$C$13))</f>
        <v>1.7093361994871114E-2</v>
      </c>
      <c r="F8" s="18">
        <f>'New Planning Enrollees'!$D8-'New Planning Enrollees'!$E8</f>
        <v>1.0348950257035239E-2</v>
      </c>
      <c r="G8" s="18" t="b">
        <f t="shared" ref="G8:G13" si="5">W8</f>
        <v>1</v>
      </c>
      <c r="H8" s="18">
        <f t="shared" ref="H8:H13" si="6">E8*0.1</f>
        <v>1.7093361994871114E-3</v>
      </c>
      <c r="I8" s="38" t="b">
        <f t="shared" ref="I8:I13" si="7">IF(ABS(F8)&gt;=H8,TRUE,FALSE)</f>
        <v>1</v>
      </c>
      <c r="R8" s="21">
        <f t="shared" ref="R8:R13" si="8">(B8/C8)-($B$14/$C$14)</f>
        <v>4.6315050462316848E-2</v>
      </c>
      <c r="S8" s="22">
        <f t="shared" si="0"/>
        <v>29215</v>
      </c>
      <c r="T8" s="23">
        <f t="shared" si="1"/>
        <v>7.6498572676481719E-2</v>
      </c>
      <c r="U8" s="24">
        <f t="shared" ref="U8:U13" si="9">R8/SQRT((T8*(1-T8))/S8)</f>
        <v>29.783767660668431</v>
      </c>
      <c r="V8" s="30">
        <f t="shared" ref="V8:V12" si="10">_xlfn.NORM.DIST(-ABS(U8),0,1,TRUE)</f>
        <v>3.1697695525680724E-195</v>
      </c>
      <c r="W8" s="23" t="b">
        <f t="shared" si="2"/>
        <v>1</v>
      </c>
    </row>
    <row r="9" spans="1:24" x14ac:dyDescent="0.3">
      <c r="A9" s="48" t="s">
        <v>28</v>
      </c>
      <c r="B9" s="49">
        <v>19581</v>
      </c>
      <c r="C9" s="49">
        <v>190689</v>
      </c>
      <c r="D9" s="50">
        <f t="shared" si="3"/>
        <v>0.14976251845166619</v>
      </c>
      <c r="E9" s="50">
        <f t="shared" si="4"/>
        <v>0.11156995055416662</v>
      </c>
      <c r="F9" s="18">
        <f>'New Planning Enrollees'!$D9-'New Planning Enrollees'!$E9</f>
        <v>3.8192567897499571E-2</v>
      </c>
      <c r="G9" s="18" t="b">
        <f t="shared" si="5"/>
        <v>1</v>
      </c>
      <c r="H9" s="18">
        <f t="shared" si="6"/>
        <v>1.1156995055416662E-2</v>
      </c>
      <c r="I9" s="38" t="b">
        <f t="shared" si="7"/>
        <v>1</v>
      </c>
      <c r="R9" s="21">
        <f t="shared" si="8"/>
        <v>2.6186951921161564E-2</v>
      </c>
      <c r="S9" s="22">
        <f t="shared" si="0"/>
        <v>190689</v>
      </c>
      <c r="T9" s="23">
        <f t="shared" si="1"/>
        <v>7.6498572676481719E-2</v>
      </c>
      <c r="U9" s="24">
        <f t="shared" si="9"/>
        <v>43.023161416500564</v>
      </c>
      <c r="V9" s="30">
        <f t="shared" si="10"/>
        <v>0</v>
      </c>
      <c r="W9" s="23" t="b">
        <f t="shared" si="2"/>
        <v>1</v>
      </c>
    </row>
    <row r="10" spans="1:24" x14ac:dyDescent="0.3">
      <c r="A10" s="48" t="s">
        <v>29</v>
      </c>
      <c r="B10" s="49">
        <v>17245</v>
      </c>
      <c r="C10" s="49">
        <v>145083</v>
      </c>
      <c r="D10" s="50">
        <f t="shared" si="3"/>
        <v>0.1318959517235577</v>
      </c>
      <c r="E10" s="50">
        <f t="shared" si="4"/>
        <v>8.488640213253075E-2</v>
      </c>
      <c r="F10" s="18">
        <f>'New Planning Enrollees'!$D10-'New Planning Enrollees'!$E10</f>
        <v>4.7009549591026947E-2</v>
      </c>
      <c r="G10" s="18" t="b">
        <f t="shared" si="5"/>
        <v>1</v>
      </c>
      <c r="H10" s="18">
        <f t="shared" si="6"/>
        <v>8.4886402132530753E-3</v>
      </c>
      <c r="I10" s="38" t="b">
        <f t="shared" si="7"/>
        <v>1</v>
      </c>
      <c r="R10" s="21">
        <f t="shared" si="8"/>
        <v>4.2364422988068917E-2</v>
      </c>
      <c r="S10" s="22">
        <f t="shared" si="0"/>
        <v>145083</v>
      </c>
      <c r="T10" s="23">
        <f t="shared" si="1"/>
        <v>7.6498572676481719E-2</v>
      </c>
      <c r="U10" s="24">
        <f t="shared" si="9"/>
        <v>60.710541663073244</v>
      </c>
      <c r="V10" s="30">
        <f t="shared" si="10"/>
        <v>0</v>
      </c>
      <c r="W10" s="23" t="b">
        <f t="shared" si="2"/>
        <v>1</v>
      </c>
    </row>
    <row r="11" spans="1:24" x14ac:dyDescent="0.3">
      <c r="A11" s="48" t="s">
        <v>30</v>
      </c>
      <c r="B11" s="49">
        <v>1445</v>
      </c>
      <c r="C11" s="49">
        <v>25410</v>
      </c>
      <c r="D11" s="50">
        <f t="shared" si="3"/>
        <v>1.1051878819399298E-2</v>
      </c>
      <c r="E11" s="50">
        <f t="shared" si="4"/>
        <v>1.4867100061258772E-2</v>
      </c>
      <c r="F11" s="18">
        <f>'New Planning Enrollees'!$D11-'New Planning Enrollees'!$E11</f>
        <v>-3.815221241859474E-3</v>
      </c>
      <c r="G11" s="18" t="b">
        <f t="shared" si="5"/>
        <v>1</v>
      </c>
      <c r="H11" s="18">
        <f t="shared" si="6"/>
        <v>1.4867100061258772E-3</v>
      </c>
      <c r="I11" s="38" t="b">
        <f t="shared" si="7"/>
        <v>1</v>
      </c>
      <c r="R11" s="21">
        <f t="shared" si="8"/>
        <v>-1.9631197627288488E-2</v>
      </c>
      <c r="S11" s="22">
        <f t="shared" si="0"/>
        <v>25410</v>
      </c>
      <c r="T11" s="23">
        <f t="shared" si="1"/>
        <v>7.6498572676481719E-2</v>
      </c>
      <c r="U11" s="24">
        <f t="shared" si="9"/>
        <v>-11.773448165704929</v>
      </c>
      <c r="V11" s="30">
        <f t="shared" si="10"/>
        <v>2.6746223165586301E-32</v>
      </c>
      <c r="W11" s="23" t="b">
        <f t="shared" si="2"/>
        <v>1</v>
      </c>
    </row>
    <row r="12" spans="1:24" x14ac:dyDescent="0.3">
      <c r="A12" s="48" t="s">
        <v>31</v>
      </c>
      <c r="B12" s="49">
        <v>85352</v>
      </c>
      <c r="C12" s="49">
        <v>1296313</v>
      </c>
      <c r="D12" s="50">
        <f t="shared" si="3"/>
        <v>0.65280274117188153</v>
      </c>
      <c r="E12" s="50">
        <f t="shared" si="4"/>
        <v>0.75845789380993867</v>
      </c>
      <c r="F12" s="18">
        <f>'New Planning Enrollees'!$D12-'New Planning Enrollees'!$E12</f>
        <v>-0.10565515263805714</v>
      </c>
      <c r="G12" s="18" t="b">
        <f t="shared" si="5"/>
        <v>1</v>
      </c>
      <c r="H12" s="18">
        <f t="shared" si="6"/>
        <v>7.5845789380993872E-2</v>
      </c>
      <c r="I12" s="38" t="b">
        <f t="shared" si="7"/>
        <v>1</v>
      </c>
      <c r="R12" s="21">
        <f t="shared" si="8"/>
        <v>-1.0656449670695303E-2</v>
      </c>
      <c r="S12" s="22">
        <f t="shared" si="0"/>
        <v>1296313</v>
      </c>
      <c r="T12" s="23">
        <f t="shared" si="1"/>
        <v>7.6498572676481719E-2</v>
      </c>
      <c r="U12" s="24">
        <f t="shared" si="9"/>
        <v>-45.648028429017394</v>
      </c>
      <c r="V12" s="30">
        <f t="shared" si="10"/>
        <v>0</v>
      </c>
      <c r="W12" s="23" t="b">
        <f t="shared" si="2"/>
        <v>1</v>
      </c>
    </row>
    <row r="13" spans="1:24" x14ac:dyDescent="0.3">
      <c r="A13" s="48" t="s">
        <v>32</v>
      </c>
      <c r="B13" s="49">
        <v>2624</v>
      </c>
      <c r="C13" s="49">
        <v>4807</v>
      </c>
      <c r="D13" s="50">
        <f t="shared" si="3"/>
        <v>2.0069294132943775E-2</v>
      </c>
      <c r="E13" s="50">
        <f t="shared" si="4"/>
        <v>2.8125206609394297E-3</v>
      </c>
      <c r="F13" s="18">
        <f>'New Planning Enrollees'!$D13-'New Planning Enrollees'!$E13</f>
        <v>1.7256773472004345E-2</v>
      </c>
      <c r="G13" s="18" t="b">
        <f t="shared" si="5"/>
        <v>1</v>
      </c>
      <c r="H13" s="18">
        <f t="shared" si="6"/>
        <v>2.8125206609394299E-4</v>
      </c>
      <c r="I13" s="38" t="b">
        <f t="shared" si="7"/>
        <v>1</v>
      </c>
      <c r="R13" s="21">
        <f t="shared" si="8"/>
        <v>0.46937203269069117</v>
      </c>
      <c r="S13" s="22">
        <f t="shared" si="0"/>
        <v>4807</v>
      </c>
      <c r="T13" s="23">
        <f t="shared" si="1"/>
        <v>7.6498572676481719E-2</v>
      </c>
      <c r="U13" s="24">
        <f t="shared" si="9"/>
        <v>122.43591137078049</v>
      </c>
      <c r="V13" s="30">
        <f t="shared" ref="V13" si="11">_xlfn.NORM.DIST(-ABS(U13),0,1,TRUE)</f>
        <v>0</v>
      </c>
      <c r="W13" s="23" t="b">
        <f t="shared" ref="W13" si="12">V13&lt;Pvalue</f>
        <v>1</v>
      </c>
    </row>
    <row r="14" spans="1:24" x14ac:dyDescent="0.3">
      <c r="A14" s="51" t="s">
        <v>33</v>
      </c>
      <c r="B14" s="16">
        <f>SUM(B7:B13)</f>
        <v>130747</v>
      </c>
      <c r="C14" s="16">
        <f>SUM(C7:C13)</f>
        <v>1709143</v>
      </c>
      <c r="D14" s="15"/>
      <c r="E14" s="15"/>
      <c r="F14" s="14"/>
      <c r="G14" s="14"/>
      <c r="H14" s="14"/>
      <c r="I14" s="44"/>
      <c r="R14" s="5"/>
      <c r="T14" s="6"/>
      <c r="U14" s="34"/>
      <c r="V14"/>
    </row>
    <row r="15" spans="1:24" x14ac:dyDescent="0.3">
      <c r="A15" s="48" t="s">
        <v>34</v>
      </c>
      <c r="B15" s="49">
        <v>1424</v>
      </c>
      <c r="C15" s="49">
        <v>484214</v>
      </c>
      <c r="D15" s="52">
        <f>'New Planning Enrollees'!$B15/B16</f>
        <v>1.0773921662089262E-2</v>
      </c>
      <c r="E15" s="52">
        <f>'New Planning Enrollees'!$B15/C16</f>
        <v>6.4923311617762181E-4</v>
      </c>
      <c r="F15" s="35">
        <f>'New Planning Enrollees'!$D15-'New Planning Enrollees'!$E15</f>
        <v>1.012468854591164E-2</v>
      </c>
      <c r="G15" s="35"/>
      <c r="H15" s="35"/>
      <c r="I15" s="60"/>
      <c r="U15" s="32"/>
      <c r="V15"/>
    </row>
    <row r="16" spans="1:24" x14ac:dyDescent="0.3">
      <c r="A16" s="20" t="s">
        <v>35</v>
      </c>
      <c r="B16" s="13">
        <f>SUM(B14:B15)</f>
        <v>132171</v>
      </c>
      <c r="C16" s="13">
        <f>SUM(C14:C15)</f>
        <v>2193357</v>
      </c>
      <c r="D16" s="12"/>
      <c r="E16" s="12"/>
      <c r="F16" s="14"/>
      <c r="G16" s="14"/>
      <c r="H16" s="14"/>
      <c r="I16" s="44"/>
      <c r="U16" s="32"/>
      <c r="V16"/>
    </row>
    <row r="18" spans="1:25" x14ac:dyDescent="0.3">
      <c r="U18" s="6"/>
    </row>
    <row r="19" spans="1:25" x14ac:dyDescent="0.3">
      <c r="K19" s="7" t="str">
        <f>"New Planning Population Enrollees" &amp; " by " &amp;A20</f>
        <v>New Planning Population Enrollees by Gender</v>
      </c>
      <c r="U19" s="6"/>
    </row>
    <row r="20" spans="1:25" s="2" customFormat="1" ht="72" x14ac:dyDescent="0.35">
      <c r="A20" s="45" t="s">
        <v>36</v>
      </c>
      <c r="B20" s="46" t="s">
        <v>57</v>
      </c>
      <c r="C20" s="46" t="s">
        <v>13</v>
      </c>
      <c r="D20" s="46" t="s">
        <v>59</v>
      </c>
      <c r="E20" s="46" t="s">
        <v>38</v>
      </c>
      <c r="F20" s="27" t="s">
        <v>16</v>
      </c>
      <c r="G20" s="27" t="s">
        <v>17</v>
      </c>
      <c r="H20" s="27" t="s">
        <v>18</v>
      </c>
      <c r="I20" s="28" t="s">
        <v>19</v>
      </c>
      <c r="R20" s="29" t="s">
        <v>20</v>
      </c>
      <c r="S20" s="29" t="s">
        <v>21</v>
      </c>
      <c r="T20" s="29" t="s">
        <v>22</v>
      </c>
      <c r="U20" s="29" t="s">
        <v>23</v>
      </c>
      <c r="V20" s="33" t="s">
        <v>24</v>
      </c>
      <c r="W20" s="29" t="s">
        <v>25</v>
      </c>
    </row>
    <row r="21" spans="1:25" x14ac:dyDescent="0.3">
      <c r="A21" s="48" t="s">
        <v>39</v>
      </c>
      <c r="B21" s="49">
        <v>16244</v>
      </c>
      <c r="C21" s="49">
        <v>216754</v>
      </c>
      <c r="D21" s="50">
        <f>(B21/SUM($B$21:$B$22))</f>
        <v>0.12291162227602906</v>
      </c>
      <c r="E21" s="50">
        <f>(C21/SUM($C$21:$C$22))</f>
        <v>0.10415457358679148</v>
      </c>
      <c r="F21" s="18">
        <f>'New Planning Enrollees'!$D21-'New Planning Enrollees'!$E21</f>
        <v>1.8757048689237582E-2</v>
      </c>
      <c r="G21" s="18" t="b">
        <f>W21</f>
        <v>1</v>
      </c>
      <c r="H21" s="18">
        <f>E21*0.1</f>
        <v>1.0415457358679148E-2</v>
      </c>
      <c r="I21" s="38" t="b">
        <f>IF(ABS(F21)&gt;=H21,TRUE,FALSE)</f>
        <v>1</v>
      </c>
      <c r="R21" s="21">
        <f>(B21/C21)-($B$23/$C$23)</f>
        <v>1.1436612725807316E-2</v>
      </c>
      <c r="S21" s="22">
        <f>C21</f>
        <v>216754</v>
      </c>
      <c r="T21" s="23">
        <f>B$23/C$23</f>
        <v>6.3505487535318206E-2</v>
      </c>
      <c r="U21" s="24">
        <f t="shared" ref="U21:U35" si="13">R21/SQRT((T21*(1-T21))/S21)</f>
        <v>21.833468286576025</v>
      </c>
      <c r="V21" s="30">
        <f>_xlfn.NORM.DIST(-ABS(U21),0,1,TRUE)</f>
        <v>5.5810766958251528E-106</v>
      </c>
      <c r="W21" s="23" t="b">
        <f>V21&lt;Pvalue</f>
        <v>1</v>
      </c>
    </row>
    <row r="22" spans="1:25" x14ac:dyDescent="0.3">
      <c r="A22" s="48" t="s">
        <v>40</v>
      </c>
      <c r="B22" s="49">
        <v>115916</v>
      </c>
      <c r="C22" s="49">
        <v>1864326</v>
      </c>
      <c r="D22" s="50">
        <f>(B22/SUM($B$21:$B$22))</f>
        <v>0.87708837772397097</v>
      </c>
      <c r="E22" s="50">
        <f>(C22/SUM($C$21:$C$22))</f>
        <v>0.89584542641320852</v>
      </c>
      <c r="F22" s="18">
        <f>'New Planning Enrollees'!$D22-'New Planning Enrollees'!$E22</f>
        <v>-1.8757048689237554E-2</v>
      </c>
      <c r="G22" s="18" t="b">
        <f>W22</f>
        <v>1</v>
      </c>
      <c r="H22" s="18">
        <f>E22*0.1</f>
        <v>8.9584542641320861E-2</v>
      </c>
      <c r="I22" s="38" t="b">
        <f>IF(ABS(F22)&gt;=H22,TRUE,FALSE)</f>
        <v>0</v>
      </c>
      <c r="J22" s="2"/>
      <c r="K22" s="2"/>
      <c r="L22" s="2"/>
      <c r="M22" s="2"/>
      <c r="N22" s="2"/>
      <c r="O22" s="2"/>
      <c r="P22" s="2"/>
      <c r="Q22" s="2"/>
      <c r="R22" s="21">
        <f>(B22/C22)-($B$23/$C$23)</f>
        <v>-1.3296663538295631E-3</v>
      </c>
      <c r="S22" s="22">
        <f>C22</f>
        <v>1864326</v>
      </c>
      <c r="T22" s="23">
        <f>B$23/C$23</f>
        <v>6.3505487535318206E-2</v>
      </c>
      <c r="U22" s="24">
        <f t="shared" si="13"/>
        <v>-7.4446684630635964</v>
      </c>
      <c r="V22" s="30">
        <f t="shared" ref="V22" si="14">_xlfn.NORM.DIST(-ABS(U22),0,1,TRUE)</f>
        <v>4.8594090315293725E-14</v>
      </c>
      <c r="W22" s="23" t="b">
        <f>V22&lt;Pvalue</f>
        <v>1</v>
      </c>
    </row>
    <row r="23" spans="1:25" x14ac:dyDescent="0.3">
      <c r="A23" s="51" t="s">
        <v>33</v>
      </c>
      <c r="B23" s="16">
        <f>SUM(B21:B22)</f>
        <v>132160</v>
      </c>
      <c r="C23" s="16">
        <f>SUM(C21:C22)</f>
        <v>2081080</v>
      </c>
      <c r="D23" s="15"/>
      <c r="E23" s="15"/>
      <c r="F23" s="14"/>
      <c r="G23" s="14"/>
      <c r="H23" s="14"/>
      <c r="I23" s="44"/>
      <c r="R23" s="3"/>
      <c r="S23" s="5"/>
      <c r="U23" s="6"/>
      <c r="V23" s="34"/>
      <c r="W23" s="6"/>
      <c r="X23" s="6"/>
      <c r="Y23" s="6"/>
    </row>
    <row r="24" spans="1:25" x14ac:dyDescent="0.3">
      <c r="A24" s="48" t="s">
        <v>34</v>
      </c>
      <c r="B24" s="49">
        <v>11</v>
      </c>
      <c r="C24" s="49">
        <v>112277</v>
      </c>
      <c r="D24" s="52">
        <f>'New Planning Enrollees'!$B24/B25</f>
        <v>8.3225518457150208E-5</v>
      </c>
      <c r="E24" s="52">
        <f>'New Planning Enrollees'!$C24/C25</f>
        <v>5.1189569231091886E-2</v>
      </c>
      <c r="F24" s="35">
        <f>'New Planning Enrollees'!$D24-'New Planning Enrollees'!$E24</f>
        <v>-5.1106343712634734E-2</v>
      </c>
      <c r="G24" s="35"/>
      <c r="H24" s="35"/>
      <c r="I24" s="60"/>
      <c r="U24" s="6"/>
    </row>
    <row r="25" spans="1:25" x14ac:dyDescent="0.3">
      <c r="A25" s="20" t="s">
        <v>35</v>
      </c>
      <c r="B25" s="13">
        <f>SUM(B23:B24)</f>
        <v>132171</v>
      </c>
      <c r="C25" s="13">
        <f>SUM(C23:C24)</f>
        <v>2193357</v>
      </c>
      <c r="D25" s="12"/>
      <c r="E25" s="12"/>
      <c r="F25" s="14"/>
      <c r="G25" s="14"/>
      <c r="H25" s="14"/>
      <c r="I25" s="44"/>
      <c r="U25" s="6"/>
    </row>
    <row r="26" spans="1:25" x14ac:dyDescent="0.3">
      <c r="J26" s="2"/>
      <c r="K26" s="2"/>
      <c r="L26" s="2"/>
      <c r="M26" s="2"/>
      <c r="N26" s="2"/>
      <c r="O26" s="2"/>
      <c r="P26" s="2"/>
      <c r="Q26" s="2"/>
      <c r="U26" s="6"/>
    </row>
    <row r="27" spans="1:25" x14ac:dyDescent="0.3">
      <c r="K27" s="7" t="str">
        <f>"New Planning Population" &amp; " by " &amp;A28</f>
        <v>New Planning Population by Age</v>
      </c>
      <c r="U27" s="6"/>
    </row>
    <row r="28" spans="1:25" ht="72" x14ac:dyDescent="0.35">
      <c r="A28" s="26" t="s">
        <v>41</v>
      </c>
      <c r="B28" s="27" t="s">
        <v>57</v>
      </c>
      <c r="C28" s="27" t="s">
        <v>13</v>
      </c>
      <c r="D28" s="27" t="s">
        <v>60</v>
      </c>
      <c r="E28" s="27" t="s">
        <v>43</v>
      </c>
      <c r="F28" s="27" t="s">
        <v>16</v>
      </c>
      <c r="G28" s="27" t="s">
        <v>17</v>
      </c>
      <c r="H28" s="27" t="s">
        <v>18</v>
      </c>
      <c r="I28" s="28" t="s">
        <v>19</v>
      </c>
      <c r="J28" s="2"/>
      <c r="K28" s="2"/>
      <c r="L28" s="2"/>
      <c r="M28" s="2"/>
      <c r="N28" s="2"/>
      <c r="O28" s="2"/>
      <c r="P28" s="2"/>
      <c r="Q28" s="2"/>
      <c r="R28" s="29" t="s">
        <v>20</v>
      </c>
      <c r="S28" s="29" t="s">
        <v>21</v>
      </c>
      <c r="T28" s="29" t="s">
        <v>22</v>
      </c>
      <c r="U28" s="29" t="s">
        <v>23</v>
      </c>
      <c r="V28" s="33" t="s">
        <v>24</v>
      </c>
      <c r="W28" s="29" t="s">
        <v>25</v>
      </c>
    </row>
    <row r="29" spans="1:25" x14ac:dyDescent="0.3">
      <c r="A29" s="17" t="s">
        <v>44</v>
      </c>
      <c r="B29" s="19">
        <v>6362</v>
      </c>
      <c r="C29" s="19">
        <v>83806</v>
      </c>
      <c r="D29" s="25">
        <f>B29/SUM(B$29:B$35)</f>
        <v>4.8140441148651208E-2</v>
      </c>
      <c r="E29" s="25">
        <f>C29/SUM(C$29:C$35)</f>
        <v>4.0190367854611442E-2</v>
      </c>
      <c r="F29" s="18">
        <f>D29-E29</f>
        <v>7.9500732940397667E-3</v>
      </c>
      <c r="G29" s="18" t="b">
        <f>W29</f>
        <v>1</v>
      </c>
      <c r="H29" s="18">
        <f>E29*0.1</f>
        <v>4.0190367854611442E-3</v>
      </c>
      <c r="I29" s="38" t="b">
        <f>IF(ABS(F29)&gt;=H29,TRUE,FALSE)</f>
        <v>1</v>
      </c>
      <c r="R29" s="21">
        <f>(B29/C29)-($B$36/$C$36)</f>
        <v>1.2536595663482628E-2</v>
      </c>
      <c r="S29" s="22">
        <f t="shared" ref="S29:S35" si="15">C29</f>
        <v>83806</v>
      </c>
      <c r="T29" s="23">
        <f>B$36/C$36</f>
        <v>6.3376823423456255E-2</v>
      </c>
      <c r="U29" s="24">
        <f>R29/SQRT((T29*(1-T29))/S29)</f>
        <v>14.895994092625289</v>
      </c>
      <c r="V29" s="30">
        <f t="shared" ref="V29:V35" si="16">_xlfn.NORM.DIST(-ABS(U29),0,1,TRUE)</f>
        <v>1.7497042027613943E-50</v>
      </c>
      <c r="W29" s="23" t="b">
        <f t="shared" ref="W29:W35" si="17">V29&lt;Pvalue</f>
        <v>1</v>
      </c>
    </row>
    <row r="30" spans="1:25" x14ac:dyDescent="0.3">
      <c r="A30" s="17" t="s">
        <v>45</v>
      </c>
      <c r="B30" s="19">
        <v>33900</v>
      </c>
      <c r="C30" s="19">
        <v>452902</v>
      </c>
      <c r="D30" s="25">
        <f t="shared" ref="D30:E35" si="18">B30/SUM(B$29:B$35)</f>
        <v>0.25651696871098334</v>
      </c>
      <c r="E30" s="25">
        <f t="shared" si="18"/>
        <v>0.21719564210306222</v>
      </c>
      <c r="F30" s="18">
        <f t="shared" ref="F30:F35" si="19">D30-E30</f>
        <v>3.932132660792112E-2</v>
      </c>
      <c r="G30" s="18" t="b">
        <f t="shared" ref="G30:G35" si="20">W30</f>
        <v>1</v>
      </c>
      <c r="H30" s="18">
        <f>E30*0.1</f>
        <v>2.1719564210306224E-2</v>
      </c>
      <c r="I30" s="38" t="b">
        <f t="shared" ref="I30:I35" si="21">IF(ABS(F30)&gt;=H30,TRUE,FALSE)</f>
        <v>1</v>
      </c>
      <c r="J30" s="2"/>
      <c r="K30" s="2"/>
      <c r="L30" s="2"/>
      <c r="M30" s="2"/>
      <c r="N30" s="2"/>
      <c r="O30" s="2"/>
      <c r="P30" s="2"/>
      <c r="Q30" s="2"/>
      <c r="R30" s="21">
        <f t="shared" ref="R30:R35" si="22">(B30/C30)-($B$36/$C$36)</f>
        <v>1.1473806514146145E-2</v>
      </c>
      <c r="S30" s="22">
        <f t="shared" si="15"/>
        <v>452902</v>
      </c>
      <c r="T30" s="23">
        <f t="shared" ref="T30:T35" si="23">B$36/C$36</f>
        <v>6.3376823423456255E-2</v>
      </c>
      <c r="U30" s="24">
        <f t="shared" si="13"/>
        <v>31.692898323738671</v>
      </c>
      <c r="V30" s="30">
        <f t="shared" si="16"/>
        <v>9.731608509359145E-221</v>
      </c>
      <c r="W30" s="23" t="b">
        <f t="shared" si="17"/>
        <v>1</v>
      </c>
    </row>
    <row r="31" spans="1:25" x14ac:dyDescent="0.3">
      <c r="A31" s="17" t="s">
        <v>46</v>
      </c>
      <c r="B31" s="19">
        <v>35164</v>
      </c>
      <c r="C31" s="19">
        <v>538906</v>
      </c>
      <c r="D31" s="25">
        <f t="shared" si="18"/>
        <v>0.2660814952139533</v>
      </c>
      <c r="E31" s="25">
        <f t="shared" si="18"/>
        <v>0.2584400923449065</v>
      </c>
      <c r="F31" s="18">
        <f t="shared" si="19"/>
        <v>7.6414028690467983E-3</v>
      </c>
      <c r="G31" s="18" t="b">
        <f t="shared" si="20"/>
        <v>1</v>
      </c>
      <c r="H31" s="18">
        <f t="shared" ref="H31:H35" si="24">E31*0.1</f>
        <v>2.584400923449065E-2</v>
      </c>
      <c r="I31" s="38" t="b">
        <f t="shared" si="21"/>
        <v>0</v>
      </c>
      <c r="R31" s="21">
        <f t="shared" si="22"/>
        <v>1.873888203432289E-3</v>
      </c>
      <c r="S31" s="22">
        <f t="shared" si="15"/>
        <v>538906</v>
      </c>
      <c r="T31" s="23">
        <f t="shared" si="23"/>
        <v>6.3376823423456255E-2</v>
      </c>
      <c r="U31" s="24">
        <f t="shared" si="13"/>
        <v>5.6461511832997964</v>
      </c>
      <c r="V31" s="30">
        <f t="shared" si="16"/>
        <v>8.203978542805877E-9</v>
      </c>
      <c r="W31" s="23" t="b">
        <f t="shared" si="17"/>
        <v>1</v>
      </c>
    </row>
    <row r="32" spans="1:25" x14ac:dyDescent="0.3">
      <c r="A32" s="17" t="s">
        <v>47</v>
      </c>
      <c r="B32" s="19">
        <v>23680</v>
      </c>
      <c r="C32" s="19">
        <v>362647</v>
      </c>
      <c r="D32" s="25">
        <f t="shared" si="18"/>
        <v>0.1791835344860202</v>
      </c>
      <c r="E32" s="25">
        <f t="shared" si="18"/>
        <v>0.17391256391393548</v>
      </c>
      <c r="F32" s="18">
        <f t="shared" si="19"/>
        <v>5.2709705720847266E-3</v>
      </c>
      <c r="G32" s="18" t="b">
        <f t="shared" si="20"/>
        <v>1</v>
      </c>
      <c r="H32" s="18">
        <f t="shared" si="24"/>
        <v>1.7391256391393547E-2</v>
      </c>
      <c r="I32" s="38" t="b">
        <f t="shared" si="21"/>
        <v>0</v>
      </c>
      <c r="R32" s="21">
        <f t="shared" si="22"/>
        <v>1.9208351811923485E-3</v>
      </c>
      <c r="S32" s="22">
        <f t="shared" si="15"/>
        <v>362647</v>
      </c>
      <c r="T32" s="23">
        <f t="shared" si="23"/>
        <v>6.3376823423456255E-2</v>
      </c>
      <c r="U32" s="24">
        <f t="shared" si="13"/>
        <v>4.7477130462088528</v>
      </c>
      <c r="V32" s="30">
        <f t="shared" si="16"/>
        <v>1.0286481847089908E-6</v>
      </c>
      <c r="W32" s="23" t="b">
        <f t="shared" si="17"/>
        <v>1</v>
      </c>
    </row>
    <row r="33" spans="1:23" x14ac:dyDescent="0.3">
      <c r="A33" s="17" t="s">
        <v>48</v>
      </c>
      <c r="B33" s="19">
        <v>12535</v>
      </c>
      <c r="C33" s="19">
        <v>200498</v>
      </c>
      <c r="D33" s="25">
        <f t="shared" si="18"/>
        <v>9.4850743445196922E-2</v>
      </c>
      <c r="E33" s="25">
        <f t="shared" si="18"/>
        <v>9.615168811438185E-2</v>
      </c>
      <c r="F33" s="18">
        <f t="shared" si="19"/>
        <v>-1.300944669184928E-3</v>
      </c>
      <c r="G33" s="18" t="b">
        <f t="shared" si="20"/>
        <v>0</v>
      </c>
      <c r="H33" s="18">
        <f t="shared" si="24"/>
        <v>9.6151688114381861E-3</v>
      </c>
      <c r="I33" s="38" t="b">
        <f t="shared" si="21"/>
        <v>0</v>
      </c>
      <c r="R33" s="21">
        <f t="shared" si="22"/>
        <v>-8.574965473776841E-4</v>
      </c>
      <c r="S33" s="22">
        <f t="shared" si="15"/>
        <v>200498</v>
      </c>
      <c r="T33" s="23">
        <f t="shared" si="23"/>
        <v>6.3376823423456255E-2</v>
      </c>
      <c r="U33" s="24">
        <f t="shared" si="13"/>
        <v>-1.5759401444485082</v>
      </c>
      <c r="V33" s="30">
        <f t="shared" si="16"/>
        <v>5.7519799077131228E-2</v>
      </c>
      <c r="W33" s="23" t="b">
        <f t="shared" si="17"/>
        <v>0</v>
      </c>
    </row>
    <row r="34" spans="1:23" x14ac:dyDescent="0.3">
      <c r="A34" s="17" t="s">
        <v>49</v>
      </c>
      <c r="B34" s="19">
        <v>19667</v>
      </c>
      <c r="C34" s="19">
        <v>425409</v>
      </c>
      <c r="D34" s="25">
        <f t="shared" si="18"/>
        <v>0.14881767621353714</v>
      </c>
      <c r="E34" s="25">
        <f t="shared" si="18"/>
        <v>0.2040109801047944</v>
      </c>
      <c r="F34" s="18">
        <f t="shared" si="19"/>
        <v>-5.5193303891257262E-2</v>
      </c>
      <c r="G34" s="18" t="b">
        <f t="shared" si="20"/>
        <v>1</v>
      </c>
      <c r="H34" s="18">
        <f t="shared" si="24"/>
        <v>2.0401098010479443E-2</v>
      </c>
      <c r="I34" s="38" t="b">
        <f t="shared" si="21"/>
        <v>1</v>
      </c>
      <c r="J34" s="2"/>
      <c r="K34" s="2"/>
      <c r="L34" s="2"/>
      <c r="M34" s="2"/>
      <c r="N34" s="2"/>
      <c r="O34" s="2"/>
      <c r="P34" s="2"/>
      <c r="Q34" s="2"/>
      <c r="R34" s="21">
        <f t="shared" si="22"/>
        <v>-1.7146019655787964E-2</v>
      </c>
      <c r="S34" s="22">
        <f t="shared" si="15"/>
        <v>425409</v>
      </c>
      <c r="T34" s="23">
        <f t="shared" si="23"/>
        <v>6.3376823423456255E-2</v>
      </c>
      <c r="U34" s="24">
        <f t="shared" si="13"/>
        <v>-45.900664220745647</v>
      </c>
      <c r="V34" s="30">
        <f t="shared" si="16"/>
        <v>0</v>
      </c>
      <c r="W34" s="23" t="b">
        <f t="shared" si="17"/>
        <v>1</v>
      </c>
    </row>
    <row r="35" spans="1:23" x14ac:dyDescent="0.3">
      <c r="A35" s="17" t="s">
        <v>50</v>
      </c>
      <c r="B35" s="19">
        <v>847</v>
      </c>
      <c r="C35" s="19">
        <v>21058</v>
      </c>
      <c r="D35" s="25">
        <f t="shared" si="18"/>
        <v>6.4091407816579014E-3</v>
      </c>
      <c r="E35" s="25">
        <f t="shared" si="18"/>
        <v>1.0098665564308138E-2</v>
      </c>
      <c r="F35" s="18">
        <f t="shared" si="19"/>
        <v>-3.6895247826502367E-3</v>
      </c>
      <c r="G35" s="18" t="b">
        <f t="shared" si="20"/>
        <v>1</v>
      </c>
      <c r="H35" s="18">
        <f t="shared" si="24"/>
        <v>1.0098665564308139E-3</v>
      </c>
      <c r="I35" s="38" t="b">
        <f t="shared" si="21"/>
        <v>1</v>
      </c>
      <c r="R35" s="21">
        <f t="shared" si="22"/>
        <v>-2.3154580095504883E-2</v>
      </c>
      <c r="S35" s="22">
        <f t="shared" si="15"/>
        <v>21058</v>
      </c>
      <c r="T35" s="23">
        <f t="shared" si="23"/>
        <v>6.3376823423456255E-2</v>
      </c>
      <c r="U35" s="24">
        <f t="shared" si="13"/>
        <v>-13.791064394538223</v>
      </c>
      <c r="V35" s="30">
        <f t="shared" si="16"/>
        <v>1.4423599151544978E-43</v>
      </c>
      <c r="W35" s="23" t="b">
        <f t="shared" si="17"/>
        <v>1</v>
      </c>
    </row>
    <row r="36" spans="1:23" x14ac:dyDescent="0.3">
      <c r="A36" s="20" t="s">
        <v>33</v>
      </c>
      <c r="B36" s="13">
        <f>SUM(B29:B35)</f>
        <v>132155</v>
      </c>
      <c r="C36" s="13">
        <f>SUM(C29:C35)</f>
        <v>2085226</v>
      </c>
      <c r="D36" s="12"/>
      <c r="E36" s="12"/>
      <c r="F36" s="14"/>
      <c r="G36" s="14"/>
      <c r="H36" s="14"/>
      <c r="I36" s="44"/>
      <c r="R36" s="3"/>
      <c r="S36" s="5"/>
      <c r="U36" s="6"/>
      <c r="V36" s="34"/>
    </row>
    <row r="37" spans="1:23" x14ac:dyDescent="0.3">
      <c r="A37" s="17" t="s">
        <v>34</v>
      </c>
      <c r="B37" s="19">
        <v>16</v>
      </c>
      <c r="C37" s="19">
        <v>108131</v>
      </c>
      <c r="D37" s="36">
        <f>B37/B38</f>
        <v>1.2105529957403666E-4</v>
      </c>
      <c r="E37" s="36">
        <f>C37/C38</f>
        <v>4.9299316071209569E-2</v>
      </c>
      <c r="F37" s="36">
        <f>D37-E37</f>
        <v>-4.9178260771635535E-2</v>
      </c>
      <c r="G37" s="36"/>
      <c r="H37" s="36"/>
      <c r="I37" s="37"/>
    </row>
    <row r="38" spans="1:23" x14ac:dyDescent="0.3">
      <c r="A38" s="20" t="s">
        <v>35</v>
      </c>
      <c r="B38" s="13">
        <f>SUM(B36:B37)</f>
        <v>132171</v>
      </c>
      <c r="C38" s="13">
        <f>SUM(C36:C37)</f>
        <v>2193357</v>
      </c>
      <c r="D38" s="12"/>
      <c r="E38" s="12"/>
      <c r="F38" s="14"/>
      <c r="G38" s="14"/>
      <c r="H38" s="14"/>
      <c r="I38" s="44"/>
    </row>
  </sheetData>
  <sheetProtection algorithmName="SHA-512" hashValue="/m5fK9M4xjRMdoV1MASEhrlVTZ41lnrEC2HRw0IZfjYfuFu85gHj8TcD7XNOKqxM1UPpnUljN/kbE65wXNRaHA==" saltValue="1wJt0fTQUQLYwfb8I/yLIQ==" spinCount="100000" sheet="1" objects="1" scenarios="1" selectLockedCells="1" selectUnlockedCells="1"/>
  <conditionalFormatting sqref="V7:V13">
    <cfRule type="cellIs" dxfId="2" priority="3" operator="lessThanOrEqual">
      <formula>$X$4</formula>
    </cfRule>
  </conditionalFormatting>
  <conditionalFormatting sqref="V21:V22">
    <cfRule type="cellIs" dxfId="1" priority="2" operator="lessThanOrEqual">
      <formula>$X$4</formula>
    </cfRule>
  </conditionalFormatting>
  <conditionalFormatting sqref="V29:V35">
    <cfRule type="cellIs" dxfId="0" priority="1" operator="lessThanOrEqual">
      <formula>$X$4</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CC054-F09C-42C4-8674-07213101B6E9}">
  <dimension ref="A1:C41"/>
  <sheetViews>
    <sheetView showGridLines="0" workbookViewId="0">
      <pane ySplit="7" topLeftCell="A8" activePane="bottomLeft" state="frozen"/>
      <selection pane="bottomLeft" activeCell="A5" sqref="A5"/>
    </sheetView>
  </sheetViews>
  <sheetFormatPr defaultRowHeight="14.4" x14ac:dyDescent="0.3"/>
  <cols>
    <col min="1" max="1" width="52" customWidth="1"/>
    <col min="2" max="2" width="26.5546875" bestFit="1" customWidth="1"/>
    <col min="3" max="3" width="26.5546875" customWidth="1"/>
  </cols>
  <sheetData>
    <row r="1" spans="1:3" ht="39.75" customHeight="1" x14ac:dyDescent="0.85">
      <c r="A1" s="1" t="s">
        <v>61</v>
      </c>
    </row>
    <row r="2" spans="1:3" ht="18" x14ac:dyDescent="0.35">
      <c r="A2" s="68" t="s">
        <v>91</v>
      </c>
      <c r="B2" s="68"/>
      <c r="C2" s="68"/>
    </row>
    <row r="3" spans="1:3" ht="18.75" customHeight="1" x14ac:dyDescent="0.35">
      <c r="A3" s="4" t="s">
        <v>62</v>
      </c>
      <c r="B3" s="4"/>
    </row>
    <row r="4" spans="1:3" x14ac:dyDescent="0.3">
      <c r="B4" s="43" t="s">
        <v>63</v>
      </c>
      <c r="C4" s="41">
        <v>2763930</v>
      </c>
    </row>
    <row r="5" spans="1:3" x14ac:dyDescent="0.3">
      <c r="B5" s="43" t="s">
        <v>64</v>
      </c>
      <c r="C5" s="41">
        <v>486020</v>
      </c>
    </row>
    <row r="6" spans="1:3" x14ac:dyDescent="0.3">
      <c r="B6" s="43" t="s">
        <v>65</v>
      </c>
      <c r="C6" s="41">
        <v>195914</v>
      </c>
    </row>
    <row r="7" spans="1:3" x14ac:dyDescent="0.3">
      <c r="B7" s="43" t="s">
        <v>66</v>
      </c>
      <c r="C7" s="42">
        <f>(C5/C4*100)/100</f>
        <v>0.17584381659448683</v>
      </c>
    </row>
    <row r="9" spans="1:3" x14ac:dyDescent="0.3">
      <c r="A9" s="45" t="s">
        <v>11</v>
      </c>
      <c r="B9" s="46" t="s">
        <v>67</v>
      </c>
      <c r="C9" s="47" t="s">
        <v>68</v>
      </c>
    </row>
    <row r="10" spans="1:3" x14ac:dyDescent="0.3">
      <c r="A10" s="48" t="s">
        <v>26</v>
      </c>
      <c r="B10" s="49">
        <v>4411</v>
      </c>
      <c r="C10" s="61">
        <v>0.89200000000000002</v>
      </c>
    </row>
    <row r="11" spans="1:3" x14ac:dyDescent="0.3">
      <c r="A11" s="48" t="s">
        <v>27</v>
      </c>
      <c r="B11" s="49">
        <v>3897</v>
      </c>
      <c r="C11" s="61">
        <v>0.93100000000000005</v>
      </c>
    </row>
    <row r="12" spans="1:3" x14ac:dyDescent="0.3">
      <c r="A12" s="48" t="s">
        <v>28</v>
      </c>
      <c r="B12" s="49">
        <v>31742</v>
      </c>
      <c r="C12" s="61">
        <v>0.91300000000000003</v>
      </c>
    </row>
    <row r="13" spans="1:3" x14ac:dyDescent="0.3">
      <c r="A13" s="48" t="s">
        <v>29</v>
      </c>
      <c r="B13" s="49">
        <v>22056</v>
      </c>
      <c r="C13" s="61">
        <v>0.88700000000000001</v>
      </c>
    </row>
    <row r="14" spans="1:3" x14ac:dyDescent="0.3">
      <c r="A14" s="48" t="s">
        <v>30</v>
      </c>
      <c r="B14" s="49">
        <v>1393</v>
      </c>
      <c r="C14" s="61">
        <v>0.91500000000000004</v>
      </c>
    </row>
    <row r="15" spans="1:3" x14ac:dyDescent="0.3">
      <c r="A15" s="48" t="s">
        <v>31</v>
      </c>
      <c r="B15" s="49">
        <v>199421</v>
      </c>
      <c r="C15" s="61">
        <v>0.93</v>
      </c>
    </row>
    <row r="16" spans="1:3" x14ac:dyDescent="0.3">
      <c r="A16" s="48" t="s">
        <v>32</v>
      </c>
      <c r="B16" s="49">
        <v>1432</v>
      </c>
      <c r="C16" s="61">
        <v>0.871</v>
      </c>
    </row>
    <row r="17" spans="1:3" x14ac:dyDescent="0.3">
      <c r="A17" s="51" t="s">
        <v>33</v>
      </c>
      <c r="B17" s="16">
        <f>SUM(B10:B16)</f>
        <v>264352</v>
      </c>
      <c r="C17" s="62" t="s">
        <v>69</v>
      </c>
    </row>
    <row r="18" spans="1:3" x14ac:dyDescent="0.3">
      <c r="A18" s="48" t="s">
        <v>34</v>
      </c>
      <c r="B18" s="49">
        <v>221668</v>
      </c>
      <c r="C18" s="61">
        <v>0.88700000000000001</v>
      </c>
    </row>
    <row r="19" spans="1:3" x14ac:dyDescent="0.3">
      <c r="A19" s="20" t="s">
        <v>35</v>
      </c>
      <c r="B19" s="13">
        <f>SUM(B17:B18)</f>
        <v>486020</v>
      </c>
      <c r="C19" s="39" t="s">
        <v>69</v>
      </c>
    </row>
    <row r="23" spans="1:3" x14ac:dyDescent="0.3">
      <c r="A23" s="45" t="s">
        <v>36</v>
      </c>
      <c r="B23" s="46" t="s">
        <v>67</v>
      </c>
      <c r="C23" s="47" t="s">
        <v>68</v>
      </c>
    </row>
    <row r="24" spans="1:3" x14ac:dyDescent="0.3">
      <c r="A24" s="48" t="s">
        <v>39</v>
      </c>
      <c r="B24" s="49">
        <v>46214</v>
      </c>
      <c r="C24" s="61">
        <v>0.875</v>
      </c>
    </row>
    <row r="25" spans="1:3" x14ac:dyDescent="0.3">
      <c r="A25" s="48" t="s">
        <v>40</v>
      </c>
      <c r="B25" s="49">
        <v>439806</v>
      </c>
      <c r="C25" s="61">
        <v>0.91200000000000003</v>
      </c>
    </row>
    <row r="26" spans="1:3" x14ac:dyDescent="0.3">
      <c r="A26" s="51" t="s">
        <v>33</v>
      </c>
      <c r="B26" s="16">
        <f>SUM(B24:B25)</f>
        <v>486020</v>
      </c>
      <c r="C26" s="62" t="s">
        <v>69</v>
      </c>
    </row>
    <row r="27" spans="1:3" x14ac:dyDescent="0.3">
      <c r="A27" s="48" t="s">
        <v>34</v>
      </c>
      <c r="B27" s="49">
        <v>0</v>
      </c>
      <c r="C27" s="63">
        <v>0</v>
      </c>
    </row>
    <row r="28" spans="1:3" x14ac:dyDescent="0.3">
      <c r="A28" s="20" t="s">
        <v>35</v>
      </c>
      <c r="B28" s="13">
        <f>SUM(B26:B27)</f>
        <v>486020</v>
      </c>
      <c r="C28" s="39" t="s">
        <v>69</v>
      </c>
    </row>
    <row r="31" spans="1:3" x14ac:dyDescent="0.3">
      <c r="A31" s="26" t="s">
        <v>41</v>
      </c>
      <c r="B31" s="27" t="s">
        <v>67</v>
      </c>
      <c r="C31" s="28" t="s">
        <v>68</v>
      </c>
    </row>
    <row r="32" spans="1:3" x14ac:dyDescent="0.3">
      <c r="A32" s="17" t="s">
        <v>44</v>
      </c>
      <c r="B32" s="19">
        <v>537</v>
      </c>
      <c r="C32" s="38">
        <v>0.76900000000000002</v>
      </c>
    </row>
    <row r="33" spans="1:3" x14ac:dyDescent="0.3">
      <c r="A33" s="17" t="s">
        <v>45</v>
      </c>
      <c r="B33" s="19">
        <v>6428</v>
      </c>
      <c r="C33" s="38">
        <v>0.78200000000000003</v>
      </c>
    </row>
    <row r="34" spans="1:3" x14ac:dyDescent="0.3">
      <c r="A34" s="17" t="s">
        <v>46</v>
      </c>
      <c r="B34" s="19">
        <v>20594</v>
      </c>
      <c r="C34" s="38">
        <v>0.80900000000000005</v>
      </c>
    </row>
    <row r="35" spans="1:3" x14ac:dyDescent="0.3">
      <c r="A35" s="17" t="s">
        <v>47</v>
      </c>
      <c r="B35" s="19">
        <v>43700</v>
      </c>
      <c r="C35" s="38">
        <v>0.87</v>
      </c>
    </row>
    <row r="36" spans="1:3" x14ac:dyDescent="0.3">
      <c r="A36" s="17" t="s">
        <v>48</v>
      </c>
      <c r="B36" s="19">
        <v>98283</v>
      </c>
      <c r="C36" s="38">
        <v>0.89900000000000002</v>
      </c>
    </row>
    <row r="37" spans="1:3" x14ac:dyDescent="0.3">
      <c r="A37" s="17" t="s">
        <v>49</v>
      </c>
      <c r="B37" s="19">
        <v>296865</v>
      </c>
      <c r="C37" s="38">
        <v>0.92500000000000004</v>
      </c>
    </row>
    <row r="38" spans="1:3" x14ac:dyDescent="0.3">
      <c r="A38" s="17" t="s">
        <v>50</v>
      </c>
      <c r="B38" s="19">
        <v>19613</v>
      </c>
      <c r="C38" s="38">
        <v>0.93799999999999994</v>
      </c>
    </row>
    <row r="39" spans="1:3" x14ac:dyDescent="0.3">
      <c r="A39" s="20" t="s">
        <v>33</v>
      </c>
      <c r="B39" s="13">
        <f>SUM(B32:B38)</f>
        <v>486020</v>
      </c>
      <c r="C39" s="39" t="s">
        <v>69</v>
      </c>
    </row>
    <row r="40" spans="1:3" x14ac:dyDescent="0.3">
      <c r="A40" s="17" t="s">
        <v>34</v>
      </c>
      <c r="B40" s="19">
        <v>0</v>
      </c>
      <c r="C40" s="40">
        <v>0</v>
      </c>
    </row>
    <row r="41" spans="1:3" x14ac:dyDescent="0.3">
      <c r="A41" s="20" t="s">
        <v>35</v>
      </c>
      <c r="B41" s="13">
        <f>SUM(B39:B40)</f>
        <v>486020</v>
      </c>
      <c r="C41" s="39" t="s">
        <v>69</v>
      </c>
    </row>
  </sheetData>
  <sheetProtection algorithmName="SHA-512" hashValue="cAty/qPXtj3/duxk1HndCS29x74dPkqvX9G9QS8sNAnrq5ZTAobq0iP9S88kMmwLaqQ2QPvYXm3JW5nFqY8O9g==" saltValue="+wT4c0jp8nF/brLUUhkeRw==" spinCount="100000" sheet="1" objects="1" scenarios="1" selectLockedCells="1" selectUnlockedCells="1"/>
  <mergeCells count="1">
    <mergeCell ref="A2: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85D22EABF9BE4AB137354C51595998" ma:contentTypeVersion="7" ma:contentTypeDescription="Create a new document." ma:contentTypeScope="" ma:versionID="9bc47b16bb15fc4ac91a98ee3c851b8a">
  <xsd:schema xmlns:xsd="http://www.w3.org/2001/XMLSchema" xmlns:xs="http://www.w3.org/2001/XMLSchema" xmlns:p="http://schemas.microsoft.com/office/2006/metadata/properties" xmlns:ns2="1bb3a2cd-4cff-43ef-8c6a-df426d81e85b" xmlns:ns3="0b048034-1961-47c8-ab65-0bb99e7129ad" targetNamespace="http://schemas.microsoft.com/office/2006/metadata/properties" ma:root="true" ma:fieldsID="bcb0b0b541ea41e9d3b545fcb183eb03" ns2:_="" ns3:_="">
    <xsd:import namespace="1bb3a2cd-4cff-43ef-8c6a-df426d81e85b"/>
    <xsd:import namespace="0b048034-1961-47c8-ab65-0bb99e7129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b3a2cd-4cff-43ef-8c6a-df426d81e8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048034-1961-47c8-ab65-0bb99e7129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0b048034-1961-47c8-ab65-0bb99e7129ad">
      <UserInfo>
        <DisplayName>Ellie Bayles</DisplayName>
        <AccountId>243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2E31D2-71DF-4FDB-B881-938DE84557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b3a2cd-4cff-43ef-8c6a-df426d81e85b"/>
    <ds:schemaRef ds:uri="0b048034-1961-47c8-ab65-0bb99e7129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752B87-117D-4CCA-A5BE-6AFDE503C2E5}">
  <ds:schemaRefs>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http://schemas.microsoft.com/office/2006/documentManagement/types"/>
    <ds:schemaRef ds:uri="http://purl.org/dc/dcmitype/"/>
    <ds:schemaRef ds:uri="0b048034-1961-47c8-ab65-0bb99e7129ad"/>
    <ds:schemaRef ds:uri="1bb3a2cd-4cff-43ef-8c6a-df426d81e85b"/>
    <ds:schemaRef ds:uri="http://schemas.microsoft.com/office/2006/metadata/properties"/>
  </ds:schemaRefs>
</ds:datastoreItem>
</file>

<file path=customXml/itemProps3.xml><?xml version="1.0" encoding="utf-8"?>
<ds:datastoreItem xmlns:ds="http://schemas.openxmlformats.org/officeDocument/2006/customXml" ds:itemID="{A3FC943E-F21A-48AB-872C-05C0178031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Description</vt:lpstr>
      <vt:lpstr>PACT Act Related Claims Submit</vt:lpstr>
      <vt:lpstr>Toxic Exposure Screenings</vt:lpstr>
      <vt:lpstr>New Planning Enrollees</vt:lpstr>
      <vt:lpstr>VHA 90 Day Trust</vt:lpstr>
      <vt:lpstr>'New Planning Enrollees'!Pvalue</vt:lpstr>
      <vt:lpstr>'Toxic Exposure Screenings'!Pvalue</vt:lpstr>
      <vt:lpstr>Pvalue</vt:lpstr>
      <vt:lpstr>'New Planning Enrollees'!zstat</vt:lpstr>
      <vt:lpstr>'PACT Act Related Claims Submit'!zstat</vt:lpstr>
      <vt:lpstr>'Toxic Exposure Screenings'!zstat</vt:lpstr>
    </vt:vector>
  </TitlesOfParts>
  <Manager/>
  <Company>Department of  Veterans Affairs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Fein, Daniel C., (Reefpoint)</dc:creator>
  <cp:keywords/>
  <dc:description/>
  <cp:lastModifiedBy>Abold-LaBreche, Justin L. (he/him/his)</cp:lastModifiedBy>
  <cp:revision/>
  <dcterms:created xsi:type="dcterms:W3CDTF">2023-06-16T12:05:21Z</dcterms:created>
  <dcterms:modified xsi:type="dcterms:W3CDTF">2023-09-28T20:53:25Z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0x010100AE85D22EABF9BE4AB137354C51595998</vt:lpwstr>
  </property>
  <property fmtid="{D5CDD505-2E9C-101B-9397-08002B2CF9AE}" pid="3" name="MediaServiceImageTags">
    <vt:lpwstr/>
  </property>
</Properties>
</file>